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95" tabRatio="706" activeTab="1"/>
  </bookViews>
  <sheets>
    <sheet name="Helhedsplan" sheetId="1" r:id="rId1"/>
    <sheet name="Spec.udg.til skema C" sheetId="2" r:id="rId2"/>
  </sheets>
  <definedNames>
    <definedName name="AS2DocOpenMode" hidden="1">"AS2DocumentEdit"</definedName>
    <definedName name="_xlnm.Print_Area" localSheetId="0">'Helhedsplan'!$A$1:$U$105</definedName>
    <definedName name="_xlnm.Print_Titles" localSheetId="0">'Helhedsplan'!$1:$7</definedName>
  </definedNames>
  <calcPr fullCalcOnLoad="1"/>
</workbook>
</file>

<file path=xl/sharedStrings.xml><?xml version="1.0" encoding="utf-8"?>
<sst xmlns="http://schemas.openxmlformats.org/spreadsheetml/2006/main" count="271" uniqueCount="191">
  <si>
    <t>stk.</t>
  </si>
  <si>
    <t>Enh. pris</t>
  </si>
  <si>
    <t xml:space="preserve"> </t>
  </si>
  <si>
    <t>bolig</t>
  </si>
  <si>
    <t>Miljø</t>
  </si>
  <si>
    <t>Samlede udgifter i alt</t>
  </si>
  <si>
    <t>Enh.</t>
  </si>
  <si>
    <t>Antal</t>
  </si>
  <si>
    <t>Genopretning</t>
  </si>
  <si>
    <t>Forbedring/</t>
  </si>
  <si>
    <t>modernisering</t>
  </si>
  <si>
    <t>Tilgængelighed</t>
  </si>
  <si>
    <t>Total</t>
  </si>
  <si>
    <t>inkl. moms</t>
  </si>
  <si>
    <t/>
  </si>
  <si>
    <t>Samlede udgifter - støttede og udsøttede arbejder</t>
  </si>
  <si>
    <t>Samlede udgifter - støttede arbejder</t>
  </si>
  <si>
    <t>Samlede udgifter - ustøttede arbejder</t>
  </si>
  <si>
    <t>Finansiering støttede arbejder:</t>
  </si>
  <si>
    <t>Oganisations dispositionsfond:</t>
  </si>
  <si>
    <t>Egen trækningsret:</t>
  </si>
  <si>
    <t>I alt:</t>
  </si>
  <si>
    <t>Ydelser:</t>
  </si>
  <si>
    <t>Finansiering ustøttede arbejder:</t>
  </si>
  <si>
    <t>Henlagte midler:</t>
  </si>
  <si>
    <t>Besparelser på drift:</t>
  </si>
  <si>
    <t>tkr.:</t>
  </si>
  <si>
    <t>tkr.</t>
  </si>
  <si>
    <t>Husleje beregning:</t>
  </si>
  <si>
    <t>Andet:</t>
  </si>
  <si>
    <t>Dispositionsfonden:</t>
  </si>
  <si>
    <t>Fordelte arbejder</t>
  </si>
  <si>
    <t>Ustøttede lån:</t>
  </si>
  <si>
    <t>Støttede lån:</t>
  </si>
  <si>
    <t>(automatisk)</t>
  </si>
  <si>
    <t>Ombygning /</t>
  </si>
  <si>
    <t>Sammenlægn.</t>
  </si>
  <si>
    <t>Opretning</t>
  </si>
  <si>
    <t>Helhedsplan (etape 1)</t>
  </si>
  <si>
    <t>Varde Bolig Administration</t>
  </si>
  <si>
    <t>Kalkulationsindeks: 122,8 (2010K4) - Priser inkl. moms.</t>
  </si>
  <si>
    <t>Helhedsplan - til drøftelse med LBF</t>
  </si>
  <si>
    <t>Nedbrydning</t>
  </si>
  <si>
    <t>Udskiftning af tagrender</t>
  </si>
  <si>
    <t>Udskiftning af nedløb</t>
  </si>
  <si>
    <t>Efterisolering af lofter 200 mm</t>
  </si>
  <si>
    <t>Nye vinduer og døre</t>
  </si>
  <si>
    <t>Indv. renovering af bolig</t>
  </si>
  <si>
    <t>Afretning</t>
  </si>
  <si>
    <t>Slibning, tapet, maling m.v.</t>
  </si>
  <si>
    <t>Hårde hvidevarer</t>
  </si>
  <si>
    <t>Nye lofter</t>
  </si>
  <si>
    <t>Gulve pletspartling + nyt gulv</t>
  </si>
  <si>
    <t>Afdeling: Møllegården, Outrup</t>
  </si>
  <si>
    <t>Tilbygning ( 2 boliger)</t>
  </si>
  <si>
    <t>Tagrender, nedløb og efterisolering af lofter 200 mm</t>
  </si>
  <si>
    <t>Nye vægge</t>
  </si>
  <si>
    <t>Tilslutningsbidrag</t>
  </si>
  <si>
    <t>Fjernvarmeledning fra skel og til inst.</t>
  </si>
  <si>
    <t>Nyt radiatorsystem</t>
  </si>
  <si>
    <t>Energiforbedringer</t>
  </si>
  <si>
    <t>m²</t>
  </si>
  <si>
    <t>Nedbrydning eksisterende vægge, tung</t>
  </si>
  <si>
    <t xml:space="preserve">Øvrige demonteringer vvs, el m.v. </t>
  </si>
  <si>
    <t>Betondæk incl 300 mm isolering</t>
  </si>
  <si>
    <t>Vægfliser</t>
  </si>
  <si>
    <t>Diverse kloak</t>
  </si>
  <si>
    <t>Udvendige arbejder</t>
  </si>
  <si>
    <t>Læmure, afsat</t>
  </si>
  <si>
    <t>Døre/store vinduer, udskiftning</t>
  </si>
  <si>
    <t>Retablering inkl. Terrasser</t>
  </si>
  <si>
    <t>Tastet efter budget arket (pyjamas ark)</t>
  </si>
  <si>
    <t>Entrepriseudgifter:</t>
  </si>
  <si>
    <t>100%</t>
  </si>
  <si>
    <t>Støttet (incl.fordelt)</t>
  </si>
  <si>
    <t>Ustøttet (excl.fordelt)</t>
  </si>
  <si>
    <t>Entreprisesum (håndværkerudgifter)</t>
  </si>
  <si>
    <t>Andre håndværksudgifter:</t>
  </si>
  <si>
    <t>Andre håndværksudgifter</t>
  </si>
  <si>
    <t>Bygherreleverancer</t>
  </si>
  <si>
    <t xml:space="preserve">Mindre reguleringer </t>
  </si>
  <si>
    <t>Entrepriseudgifter i alt</t>
  </si>
  <si>
    <t>Omkostninger % (skal detaljeres inden skema A) - 15%</t>
  </si>
  <si>
    <t>Teknisk rådgivning</t>
  </si>
  <si>
    <t>Omkostninger  - 15%</t>
  </si>
  <si>
    <t>Byggesagshonorar</t>
  </si>
  <si>
    <t>Bestyrelsesudgifter</t>
  </si>
  <si>
    <t>Genhusning</t>
  </si>
  <si>
    <t>Stiftelsesprovision</t>
  </si>
  <si>
    <t>Byggelånsrenter</t>
  </si>
  <si>
    <t>Øvrige finansielle omkostninger</t>
  </si>
  <si>
    <t>Omkostninger i alt</t>
  </si>
  <si>
    <t>Genhusning m.m.</t>
  </si>
  <si>
    <t>Byggeskadefonden 1%</t>
  </si>
  <si>
    <t>Genhusning, information m.v. (skal detaljeres inden skema A)</t>
  </si>
  <si>
    <t>Genhusning i alt</t>
  </si>
  <si>
    <t>Flytteomkostninger</t>
  </si>
  <si>
    <t>Byggeadministration byggeskadefonden</t>
  </si>
  <si>
    <t>Nye døre + vinduer i stedet for hoveddøre</t>
  </si>
  <si>
    <t>Døre indvendig + snedkerarbejder</t>
  </si>
  <si>
    <t>Rengøring</t>
  </si>
  <si>
    <t>El</t>
  </si>
  <si>
    <t>Udvendige nedbrydninger</t>
  </si>
  <si>
    <t>Nedbrydning eksisterende vægge, lette, lofter</t>
  </si>
  <si>
    <t xml:space="preserve">Samlede udgifter i alt </t>
  </si>
  <si>
    <t>Særlige vinterforanstaltninger og udtørring</t>
  </si>
  <si>
    <t>Dato:17.10.2011, init. mj/rev 30.11.2011 hhn, rev 16.08.2012 hhn, rev. 04.11.2013 hhn, rev. 01.07.2014 mth</t>
  </si>
  <si>
    <t xml:space="preserve">Døre, vinduer og inventar </t>
  </si>
  <si>
    <t>Terrændæk + gulv</t>
  </si>
  <si>
    <t>Udbedringer</t>
  </si>
  <si>
    <t>Udbedring af forankringsproblem, samt tagrumsudluftning</t>
  </si>
  <si>
    <t>Forstærkning af spær</t>
  </si>
  <si>
    <t>Løsholt for korrekt opsætning af dampspærre</t>
  </si>
  <si>
    <t>Isolering bag rem over vinduer</t>
  </si>
  <si>
    <t>Fugning ved udvendig rem</t>
  </si>
  <si>
    <t>Ændring af dørhuller incl maler, el og nye døre</t>
  </si>
  <si>
    <t>Gulvklinker</t>
  </si>
  <si>
    <t>VVS og sanitet</t>
  </si>
  <si>
    <t xml:space="preserve">Nyt inventar i køkken og bad </t>
  </si>
  <si>
    <t>Renovering af udenomsarealer</t>
  </si>
  <si>
    <t>Flytning / udskiftning af tagbrønde</t>
  </si>
  <si>
    <t>Filtsning af sokkel i have</t>
  </si>
  <si>
    <t>Sløjfning af 2 stk. stophaner</t>
  </si>
  <si>
    <t>Genhusning, information m.v.</t>
  </si>
  <si>
    <t>Revideret 16.07.2014 til skema C</t>
  </si>
  <si>
    <t>Godkendt af afdelingsmødet og bruges til skema C</t>
  </si>
  <si>
    <t>Skyldige</t>
  </si>
  <si>
    <t>Bogføring</t>
  </si>
  <si>
    <t>diverse</t>
  </si>
  <si>
    <t>Håndv.m.m.</t>
  </si>
  <si>
    <t>Øvrige omk.</t>
  </si>
  <si>
    <t>håndv</t>
  </si>
  <si>
    <t>Willis</t>
  </si>
  <si>
    <t>byg.herrelev.</t>
  </si>
  <si>
    <t>vinter</t>
  </si>
  <si>
    <t>tv-inspektion</t>
  </si>
  <si>
    <t>varde skilte</t>
  </si>
  <si>
    <t>antenne</t>
  </si>
  <si>
    <t>udtør</t>
  </si>
  <si>
    <t>Ingeniør</t>
  </si>
  <si>
    <t>byg.hon.</t>
  </si>
  <si>
    <t>best.hon.</t>
  </si>
  <si>
    <t>Renter mm</t>
  </si>
  <si>
    <t>Renter</t>
  </si>
  <si>
    <t>Byggetilladelse</t>
  </si>
  <si>
    <t>Revision</t>
  </si>
  <si>
    <t>bog.f</t>
  </si>
  <si>
    <t>omk</t>
  </si>
  <si>
    <t>Udg.byggeplads</t>
  </si>
  <si>
    <t>Bjælkestuen</t>
  </si>
  <si>
    <t>? Fra 15.07.14-</t>
  </si>
  <si>
    <t>genhusn.</t>
  </si>
  <si>
    <t>flyttehjælp</t>
  </si>
  <si>
    <t>RD ustøt</t>
  </si>
  <si>
    <t>RD støt</t>
  </si>
  <si>
    <t>Byggeskadefonden, omk.krdf.  Støttet og ustøttet</t>
  </si>
  <si>
    <t>RD ustøt.</t>
  </si>
  <si>
    <t>Håndværkerudgifter i alt inkl. moms</t>
  </si>
  <si>
    <t>Byggeplads</t>
  </si>
  <si>
    <t>Håndværkerudgift i alt inkl.byggeplads og moms</t>
  </si>
  <si>
    <t>BSK</t>
  </si>
  <si>
    <t>RD</t>
  </si>
  <si>
    <t>Byggepladsomkostninger og vinterforanstaltninger %</t>
  </si>
  <si>
    <t>skilt</t>
  </si>
  <si>
    <t>Tomgangsleje</t>
  </si>
  <si>
    <t>hertil muldjord</t>
  </si>
  <si>
    <t>muld</t>
  </si>
  <si>
    <t>Udgifter til byggeplads -</t>
  </si>
  <si>
    <r>
      <t xml:space="preserve">Omkostninger % </t>
    </r>
    <r>
      <rPr>
        <b/>
        <i/>
        <sz val="11"/>
        <rFont val="Arial"/>
        <family val="2"/>
      </rPr>
      <t>(skal detaljeres inden skema A)</t>
    </r>
  </si>
  <si>
    <t>Bogføring afstemt af Deloitte</t>
  </si>
  <si>
    <t>Incl. primoposteringer</t>
  </si>
  <si>
    <t>Diff.</t>
  </si>
  <si>
    <t>Bogført</t>
  </si>
  <si>
    <t>IGV - rådgivning</t>
  </si>
  <si>
    <t>Revisor</t>
  </si>
  <si>
    <t>I alt</t>
  </si>
  <si>
    <t>ok</t>
  </si>
  <si>
    <t>Gammel saldo er bogført væk</t>
  </si>
  <si>
    <t>byggetilladelse</t>
  </si>
  <si>
    <t>Energitilskud, Varde Forsyning</t>
  </si>
  <si>
    <t>IGV - rådgivning ekstraregning</t>
  </si>
  <si>
    <t>Græsslåning + Aftaleseddel</t>
  </si>
  <si>
    <t>Energitilskud</t>
  </si>
  <si>
    <t>Beregning byggeskadefond 1%</t>
  </si>
  <si>
    <t>Ingen byggeskadefond på den ustøttede del</t>
  </si>
  <si>
    <t>Jf. opkrævning</t>
  </si>
  <si>
    <t>Opkræves, da over 1.000 kr.</t>
  </si>
  <si>
    <t>Tilskud</t>
  </si>
  <si>
    <t>Korrektion byggeskadefond</t>
  </si>
  <si>
    <t>Refusions flytteopgørelse</t>
  </si>
  <si>
    <t>Afsat til ændring af lån</t>
  </si>
</sst>
</file>

<file path=xl/styles.xml><?xml version="1.0" encoding="utf-8"?>
<styleSheet xmlns="http://schemas.openxmlformats.org/spreadsheetml/2006/main">
  <numFmts count="3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&quot;kr&quot;\ * #,##0.00_);_(&quot;kr&quot;\ * \(#,##0.00\);_(&quot;kr&quot;\ * &quot;-&quot;??_);_(@_)"/>
    <numFmt numFmtId="184" formatCode="0.0"/>
    <numFmt numFmtId="185" formatCode="0.0%"/>
    <numFmt numFmtId="186" formatCode="#,##0.0"/>
    <numFmt numFmtId="187" formatCode="0.000%"/>
    <numFmt numFmtId="188" formatCode="0.0000%"/>
    <numFmt numFmtId="189" formatCode="#,##0.000"/>
    <numFmt numFmtId="190" formatCode="#,##0.0000"/>
    <numFmt numFmtId="191" formatCode="_ * #,##0.0_ ;_ * \-#,##0.0_ ;_ * &quot;-&quot;??_ ;_ @_ "/>
    <numFmt numFmtId="192" formatCode="_ * #,##0_ ;_ * \-#,##0_ ;_ * &quot;-&quot;??_ ;_ @_ "/>
    <numFmt numFmtId="193" formatCode="_ * #,##0.0_ ;_ * \-#,##0.0_ ;_ * &quot;-&quot;?_ ;_ @_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color indexed="4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43"/>
      <name val="Arial"/>
      <family val="2"/>
    </font>
    <font>
      <sz val="8"/>
      <color indexed="44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0" borderId="3" applyNumberFormat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8" fillId="33" borderId="10" xfId="0" applyFont="1" applyFill="1" applyBorder="1" applyAlignment="1" applyProtection="1">
      <alignment horizontal="centerContinuous" vertical="center"/>
      <protection locked="0"/>
    </xf>
    <xf numFmtId="0" fontId="8" fillId="33" borderId="11" xfId="0" applyFont="1" applyFill="1" applyBorder="1" applyAlignment="1" applyProtection="1">
      <alignment horizontal="centerContinuous" vertical="center"/>
      <protection locked="0"/>
    </xf>
    <xf numFmtId="0" fontId="5" fillId="0" borderId="12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1" fontId="3" fillId="0" borderId="12" xfId="0" applyNumberFormat="1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 quotePrefix="1">
      <alignment horizontal="right" vertical="center"/>
      <protection locked="0"/>
    </xf>
    <xf numFmtId="0" fontId="4" fillId="0" borderId="15" xfId="0" applyFont="1" applyFill="1" applyBorder="1" applyAlignment="1" applyProtection="1" quotePrefix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1" fontId="4" fillId="0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 applyProtection="1">
      <alignment horizontal="right" vertical="center"/>
      <protection locked="0"/>
    </xf>
    <xf numFmtId="1" fontId="4" fillId="0" borderId="19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1" fontId="3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>
      <alignment horizontal="right" vertical="center"/>
      <protection locked="0"/>
    </xf>
    <xf numFmtId="1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3" fontId="3" fillId="0" borderId="19" xfId="0" applyNumberFormat="1" applyFont="1" applyFill="1" applyBorder="1" applyAlignment="1" applyProtection="1">
      <alignment vertical="center"/>
      <protection locked="0"/>
    </xf>
    <xf numFmtId="185" fontId="6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" fontId="3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1" fontId="3" fillId="0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" fontId="3" fillId="0" borderId="0" xfId="0" applyNumberFormat="1" applyFont="1" applyFill="1" applyAlignment="1" applyProtection="1">
      <alignment vertical="center"/>
      <protection locked="0"/>
    </xf>
    <xf numFmtId="1" fontId="3" fillId="0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" fontId="3" fillId="0" borderId="0" xfId="0" applyNumberFormat="1" applyFont="1" applyFill="1" applyAlignment="1" applyProtection="1">
      <alignment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1" fontId="3" fillId="33" borderId="22" xfId="0" applyNumberFormat="1" applyFont="1" applyFill="1" applyBorder="1" applyAlignment="1" applyProtection="1">
      <alignment horizontal="right" vertical="center"/>
      <protection locked="0"/>
    </xf>
    <xf numFmtId="3" fontId="3" fillId="33" borderId="22" xfId="0" applyNumberFormat="1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1" fontId="3" fillId="33" borderId="21" xfId="0" applyNumberFormat="1" applyFont="1" applyFill="1" applyBorder="1" applyAlignment="1" applyProtection="1">
      <alignment horizontal="right" vertical="center"/>
      <protection locked="0"/>
    </xf>
    <xf numFmtId="3" fontId="3" fillId="33" borderId="21" xfId="0" applyNumberFormat="1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horizontal="left" vertical="center"/>
      <protection locked="0"/>
    </xf>
    <xf numFmtId="1" fontId="3" fillId="34" borderId="22" xfId="0" applyNumberFormat="1" applyFont="1" applyFill="1" applyBorder="1" applyAlignment="1" applyProtection="1">
      <alignment horizontal="right" vertical="center"/>
      <protection locked="0"/>
    </xf>
    <xf numFmtId="3" fontId="3" fillId="34" borderId="22" xfId="0" applyNumberFormat="1" applyFont="1" applyFill="1" applyBorder="1" applyAlignment="1" applyProtection="1">
      <alignment vertical="center"/>
      <protection locked="0"/>
    </xf>
    <xf numFmtId="0" fontId="3" fillId="34" borderId="16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vertical="center"/>
      <protection locked="0"/>
    </xf>
    <xf numFmtId="0" fontId="3" fillId="34" borderId="16" xfId="0" applyFont="1" applyFill="1" applyBorder="1" applyAlignment="1" applyProtection="1">
      <alignment horizontal="left" vertical="center"/>
      <protection locked="0"/>
    </xf>
    <xf numFmtId="1" fontId="3" fillId="34" borderId="21" xfId="0" applyNumberFormat="1" applyFont="1" applyFill="1" applyBorder="1" applyAlignment="1" applyProtection="1">
      <alignment horizontal="right" vertical="center"/>
      <protection locked="0"/>
    </xf>
    <xf numFmtId="3" fontId="3" fillId="34" borderId="2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1" fontId="3" fillId="0" borderId="17" xfId="0" applyNumberFormat="1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 horizontal="centerContinuous" vertical="center"/>
      <protection locked="0"/>
    </xf>
    <xf numFmtId="0" fontId="4" fillId="33" borderId="13" xfId="0" applyFont="1" applyFill="1" applyBorder="1" applyAlignment="1" applyProtection="1">
      <alignment horizontal="centerContinuous" vertical="center"/>
      <protection locked="0"/>
    </xf>
    <xf numFmtId="0" fontId="4" fillId="33" borderId="16" xfId="0" applyFont="1" applyFill="1" applyBorder="1" applyAlignment="1" applyProtection="1">
      <alignment horizontal="centerContinuous"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9" fontId="6" fillId="0" borderId="13" xfId="0" applyNumberFormat="1" applyFont="1" applyFill="1" applyBorder="1" applyAlignment="1" applyProtection="1">
      <alignment vertical="center"/>
      <protection locked="0"/>
    </xf>
    <xf numFmtId="9" fontId="6" fillId="0" borderId="16" xfId="0" applyNumberFormat="1" applyFont="1" applyFill="1" applyBorder="1" applyAlignment="1" applyProtection="1">
      <alignment vertical="center"/>
      <protection locked="0"/>
    </xf>
    <xf numFmtId="0" fontId="4" fillId="35" borderId="11" xfId="0" applyFont="1" applyFill="1" applyBorder="1" applyAlignment="1" applyProtection="1">
      <alignment horizontal="centerContinuous" vertical="center"/>
      <protection locked="0"/>
    </xf>
    <xf numFmtId="9" fontId="6" fillId="0" borderId="12" xfId="0" applyNumberFormat="1" applyFont="1" applyFill="1" applyBorder="1" applyAlignment="1" applyProtection="1">
      <alignment vertical="center"/>
      <protection locked="0"/>
    </xf>
    <xf numFmtId="9" fontId="6" fillId="0" borderId="17" xfId="0" applyNumberFormat="1" applyFont="1" applyFill="1" applyBorder="1" applyAlignment="1" applyProtection="1">
      <alignment vertical="center"/>
      <protection locked="0"/>
    </xf>
    <xf numFmtId="184" fontId="3" fillId="0" borderId="0" xfId="0" applyNumberFormat="1" applyFont="1" applyFill="1" applyBorder="1" applyAlignment="1" applyProtection="1">
      <alignment/>
      <protection locked="0"/>
    </xf>
    <xf numFmtId="18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84" fontId="3" fillId="0" borderId="17" xfId="0" applyNumberFormat="1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 horizontal="centerContinuous" vertical="center"/>
      <protection locked="0"/>
    </xf>
    <xf numFmtId="0" fontId="4" fillId="34" borderId="16" xfId="0" applyFont="1" applyFill="1" applyBorder="1" applyAlignment="1" applyProtection="1">
      <alignment horizontal="centerContinuous" vertical="center"/>
      <protection locked="0"/>
    </xf>
    <xf numFmtId="9" fontId="6" fillId="34" borderId="23" xfId="0" applyNumberFormat="1" applyFont="1" applyFill="1" applyBorder="1" applyAlignment="1" applyProtection="1">
      <alignment vertical="center"/>
      <protection locked="0"/>
    </xf>
    <xf numFmtId="9" fontId="6" fillId="34" borderId="24" xfId="0" applyNumberFormat="1" applyFont="1" applyFill="1" applyBorder="1" applyAlignment="1" applyProtection="1">
      <alignment vertical="center"/>
      <protection locked="0"/>
    </xf>
    <xf numFmtId="3" fontId="4" fillId="36" borderId="25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9" fontId="6" fillId="36" borderId="26" xfId="0" applyNumberFormat="1" applyFont="1" applyFill="1" applyBorder="1" applyAlignment="1" applyProtection="1">
      <alignment vertical="center"/>
      <protection/>
    </xf>
    <xf numFmtId="3" fontId="4" fillId="36" borderId="27" xfId="0" applyNumberFormat="1" applyFont="1" applyFill="1" applyBorder="1" applyAlignment="1" applyProtection="1">
      <alignment vertical="center"/>
      <protection/>
    </xf>
    <xf numFmtId="9" fontId="6" fillId="0" borderId="15" xfId="0" applyNumberFormat="1" applyFont="1" applyFill="1" applyBorder="1" applyAlignment="1" applyProtection="1">
      <alignment vertical="center"/>
      <protection/>
    </xf>
    <xf numFmtId="3" fontId="4" fillId="0" borderId="27" xfId="0" applyNumberFormat="1" applyFont="1" applyFill="1" applyBorder="1" applyAlignment="1" applyProtection="1">
      <alignment vertical="center"/>
      <protection/>
    </xf>
    <xf numFmtId="9" fontId="6" fillId="0" borderId="0" xfId="0" applyNumberFormat="1" applyFont="1" applyFill="1" applyBorder="1" applyAlignment="1" applyProtection="1">
      <alignment vertical="center"/>
      <protection/>
    </xf>
    <xf numFmtId="9" fontId="6" fillId="0" borderId="26" xfId="0" applyNumberFormat="1" applyFont="1" applyFill="1" applyBorder="1" applyAlignment="1" applyProtection="1">
      <alignment vertical="center"/>
      <protection/>
    </xf>
    <xf numFmtId="3" fontId="3" fillId="0" borderId="27" xfId="0" applyNumberFormat="1" applyFont="1" applyFill="1" applyBorder="1" applyAlignment="1" applyProtection="1">
      <alignment vertical="center"/>
      <protection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7" xfId="0" applyBorder="1" applyAlignment="1" applyProtection="1">
      <alignment horizontal="centerContinuous"/>
      <protection locked="0"/>
    </xf>
    <xf numFmtId="0" fontId="0" fillId="33" borderId="29" xfId="0" applyFill="1" applyBorder="1" applyAlignment="1" applyProtection="1">
      <alignment horizontal="centerContinuous"/>
      <protection locked="0"/>
    </xf>
    <xf numFmtId="0" fontId="0" fillId="34" borderId="29" xfId="0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3" borderId="30" xfId="0" applyFill="1" applyBorder="1" applyAlignment="1" applyProtection="1">
      <alignment horizontal="centerContinuous"/>
      <protection locked="0"/>
    </xf>
    <xf numFmtId="0" fontId="0" fillId="34" borderId="30" xfId="0" applyFill="1" applyBorder="1" applyAlignment="1" applyProtection="1">
      <alignment horizontal="centerContinuous"/>
      <protection locked="0"/>
    </xf>
    <xf numFmtId="0" fontId="4" fillId="0" borderId="28" xfId="0" applyFont="1" applyFill="1" applyBorder="1" applyAlignment="1" applyProtection="1">
      <alignment horizontal="right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184" fontId="0" fillId="0" borderId="0" xfId="0" applyNumberForma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" fontId="3" fillId="0" borderId="31" xfId="0" applyNumberFormat="1" applyFont="1" applyFill="1" applyBorder="1" applyAlignment="1" applyProtection="1">
      <alignment horizontal="right"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3" fontId="4" fillId="33" borderId="25" xfId="0" applyNumberFormat="1" applyFont="1" applyFill="1" applyBorder="1" applyAlignment="1" applyProtection="1">
      <alignment vertical="center"/>
      <protection locked="0"/>
    </xf>
    <xf numFmtId="3" fontId="4" fillId="34" borderId="25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184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4" fillId="33" borderId="29" xfId="0" applyNumberFormat="1" applyFont="1" applyFill="1" applyBorder="1" applyAlignment="1" applyProtection="1">
      <alignment vertical="center"/>
      <protection locked="0"/>
    </xf>
    <xf numFmtId="3" fontId="4" fillId="34" borderId="29" xfId="0" applyNumberFormat="1" applyFont="1" applyFill="1" applyBorder="1" applyAlignment="1" applyProtection="1">
      <alignment vertical="center"/>
      <protection locked="0"/>
    </xf>
    <xf numFmtId="3" fontId="4" fillId="33" borderId="27" xfId="0" applyNumberFormat="1" applyFont="1" applyFill="1" applyBorder="1" applyAlignment="1" applyProtection="1">
      <alignment vertical="center"/>
      <protection locked="0"/>
    </xf>
    <xf numFmtId="9" fontId="6" fillId="34" borderId="26" xfId="0" applyNumberFormat="1" applyFont="1" applyFill="1" applyBorder="1" applyAlignment="1" applyProtection="1">
      <alignment vertical="center"/>
      <protection locked="0"/>
    </xf>
    <xf numFmtId="3" fontId="4" fillId="34" borderId="27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4" fillId="33" borderId="30" xfId="0" applyNumberFormat="1" applyFont="1" applyFill="1" applyBorder="1" applyAlignment="1" applyProtection="1">
      <alignment vertical="center"/>
      <protection locked="0"/>
    </xf>
    <xf numFmtId="3" fontId="4" fillId="34" borderId="30" xfId="0" applyNumberFormat="1" applyFont="1" applyFill="1" applyBorder="1" applyAlignment="1" applyProtection="1">
      <alignment vertical="center"/>
      <protection locked="0"/>
    </xf>
    <xf numFmtId="3" fontId="4" fillId="33" borderId="35" xfId="0" applyNumberFormat="1" applyFont="1" applyFill="1" applyBorder="1" applyAlignment="1" applyProtection="1">
      <alignment vertical="center"/>
      <protection locked="0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3" fontId="4" fillId="33" borderId="28" xfId="0" applyNumberFormat="1" applyFont="1" applyFill="1" applyBorder="1" applyAlignment="1" applyProtection="1">
      <alignment vertical="center"/>
      <protection locked="0"/>
    </xf>
    <xf numFmtId="9" fontId="6" fillId="0" borderId="15" xfId="0" applyNumberFormat="1" applyFont="1" applyFill="1" applyBorder="1" applyAlignment="1" applyProtection="1">
      <alignment vertical="center"/>
      <protection locked="0"/>
    </xf>
    <xf numFmtId="3" fontId="4" fillId="33" borderId="36" xfId="0" applyNumberFormat="1" applyFont="1" applyFill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3" fillId="33" borderId="35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1" fontId="3" fillId="33" borderId="19" xfId="0" applyNumberFormat="1" applyFont="1" applyFill="1" applyBorder="1" applyAlignment="1" applyProtection="1">
      <alignment horizontal="right" vertical="center"/>
      <protection locked="0"/>
    </xf>
    <xf numFmtId="3" fontId="3" fillId="33" borderId="19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9" fontId="6" fillId="0" borderId="0" xfId="0" applyNumberFormat="1" applyFont="1" applyFill="1" applyBorder="1" applyAlignment="1" applyProtection="1">
      <alignment vertical="center"/>
      <protection locked="0"/>
    </xf>
    <xf numFmtId="3" fontId="3" fillId="33" borderId="3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3" fillId="34" borderId="35" xfId="0" applyNumberFormat="1" applyFont="1" applyFill="1" applyBorder="1" applyAlignment="1" applyProtection="1">
      <alignment vertical="center"/>
      <protection locked="0"/>
    </xf>
    <xf numFmtId="0" fontId="4" fillId="34" borderId="15" xfId="0" applyFont="1" applyFill="1" applyBorder="1" applyAlignment="1" applyProtection="1">
      <alignment vertical="center"/>
      <protection locked="0"/>
    </xf>
    <xf numFmtId="0" fontId="3" fillId="34" borderId="15" xfId="0" applyFont="1" applyFill="1" applyBorder="1" applyAlignment="1" applyProtection="1">
      <alignment horizontal="left" vertical="center"/>
      <protection locked="0"/>
    </xf>
    <xf numFmtId="1" fontId="3" fillId="34" borderId="19" xfId="0" applyNumberFormat="1" applyFont="1" applyFill="1" applyBorder="1" applyAlignment="1" applyProtection="1">
      <alignment horizontal="right" vertical="center"/>
      <protection locked="0"/>
    </xf>
    <xf numFmtId="3" fontId="3" fillId="34" borderId="19" xfId="0" applyNumberFormat="1" applyFont="1" applyFill="1" applyBorder="1" applyAlignment="1" applyProtection="1">
      <alignment vertical="center"/>
      <protection locked="0"/>
    </xf>
    <xf numFmtId="3" fontId="3" fillId="34" borderId="36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3" fontId="3" fillId="0" borderId="17" xfId="0" applyNumberFormat="1" applyFont="1" applyFill="1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/>
      <protection/>
    </xf>
    <xf numFmtId="0" fontId="4" fillId="35" borderId="25" xfId="0" applyFont="1" applyFill="1" applyBorder="1" applyAlignment="1" applyProtection="1">
      <alignment horizontal="centerContinuous" vertical="center"/>
      <protection/>
    </xf>
    <xf numFmtId="0" fontId="0" fillId="36" borderId="29" xfId="0" applyFill="1" applyBorder="1" applyAlignment="1" applyProtection="1">
      <alignment horizontal="centerContinuous"/>
      <protection/>
    </xf>
    <xf numFmtId="0" fontId="0" fillId="36" borderId="30" xfId="0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3" fontId="4" fillId="36" borderId="29" xfId="0" applyNumberFormat="1" applyFont="1" applyFill="1" applyBorder="1" applyAlignment="1" applyProtection="1">
      <alignment vertical="center"/>
      <protection/>
    </xf>
    <xf numFmtId="3" fontId="4" fillId="36" borderId="30" xfId="0" applyNumberFormat="1" applyFont="1" applyFill="1" applyBorder="1" applyAlignment="1" applyProtection="1">
      <alignment vertical="center"/>
      <protection/>
    </xf>
    <xf numFmtId="3" fontId="4" fillId="0" borderId="29" xfId="0" applyNumberFormat="1" applyFont="1" applyFill="1" applyBorder="1" applyAlignment="1" applyProtection="1">
      <alignment vertical="center"/>
      <protection/>
    </xf>
    <xf numFmtId="3" fontId="4" fillId="0" borderId="3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Continuous" vertical="center"/>
      <protection/>
    </xf>
    <xf numFmtId="0" fontId="4" fillId="35" borderId="11" xfId="0" applyFont="1" applyFill="1" applyBorder="1" applyAlignment="1" applyProtection="1">
      <alignment horizontal="centerContinuous" vertical="center"/>
      <protection/>
    </xf>
    <xf numFmtId="0" fontId="4" fillId="36" borderId="13" xfId="0" applyFont="1" applyFill="1" applyBorder="1" applyAlignment="1" applyProtection="1">
      <alignment horizontal="centerContinuous" vertical="center"/>
      <protection/>
    </xf>
    <xf numFmtId="0" fontId="4" fillId="36" borderId="16" xfId="0" applyFont="1" applyFill="1" applyBorder="1" applyAlignment="1" applyProtection="1">
      <alignment horizontal="centerContinuous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9" fontId="7" fillId="0" borderId="26" xfId="0" applyNumberFormat="1" applyFont="1" applyFill="1" applyBorder="1" applyAlignment="1" applyProtection="1">
      <alignment vertical="center"/>
      <protection/>
    </xf>
    <xf numFmtId="9" fontId="6" fillId="36" borderId="23" xfId="0" applyNumberFormat="1" applyFont="1" applyFill="1" applyBorder="1" applyAlignment="1" applyProtection="1">
      <alignment vertical="center"/>
      <protection/>
    </xf>
    <xf numFmtId="9" fontId="6" fillId="36" borderId="24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vertical="center"/>
      <protection/>
    </xf>
    <xf numFmtId="9" fontId="6" fillId="0" borderId="13" xfId="0" applyNumberFormat="1" applyFont="1" applyFill="1" applyBorder="1" applyAlignment="1" applyProtection="1">
      <alignment vertical="center"/>
      <protection/>
    </xf>
    <xf numFmtId="9" fontId="6" fillId="0" borderId="16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/>
      <protection/>
    </xf>
    <xf numFmtId="9" fontId="6" fillId="0" borderId="12" xfId="0" applyNumberFormat="1" applyFont="1" applyFill="1" applyBorder="1" applyAlignment="1" applyProtection="1">
      <alignment vertical="center"/>
      <protection/>
    </xf>
    <xf numFmtId="9" fontId="6" fillId="0" borderId="17" xfId="0" applyNumberFormat="1" applyFont="1" applyFill="1" applyBorder="1" applyAlignment="1" applyProtection="1">
      <alignment vertical="center"/>
      <protection/>
    </xf>
    <xf numFmtId="184" fontId="0" fillId="0" borderId="0" xfId="0" applyNumberFormat="1" applyFill="1" applyBorder="1" applyAlignment="1" applyProtection="1">
      <alignment/>
      <protection/>
    </xf>
    <xf numFmtId="9" fontId="10" fillId="36" borderId="38" xfId="0" applyNumberFormat="1" applyFont="1" applyFill="1" applyBorder="1" applyAlignment="1" applyProtection="1">
      <alignment vertical="center"/>
      <protection/>
    </xf>
    <xf numFmtId="9" fontId="11" fillId="0" borderId="18" xfId="0" applyNumberFormat="1" applyFont="1" applyFill="1" applyBorder="1" applyAlignment="1" applyProtection="1">
      <alignment horizontal="right" vertical="center"/>
      <protection locked="0"/>
    </xf>
    <xf numFmtId="9" fontId="11" fillId="0" borderId="34" xfId="0" applyNumberFormat="1" applyFont="1" applyFill="1" applyBorder="1" applyAlignment="1" applyProtection="1">
      <alignment horizontal="right" vertical="center"/>
      <protection locked="0"/>
    </xf>
    <xf numFmtId="0" fontId="12" fillId="0" borderId="18" xfId="0" applyFont="1" applyFill="1" applyBorder="1" applyAlignment="1" applyProtection="1">
      <alignment horizontal="right" vertical="center"/>
      <protection locked="0"/>
    </xf>
    <xf numFmtId="0" fontId="11" fillId="0" borderId="18" xfId="0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9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/>
      <protection locked="0"/>
    </xf>
    <xf numFmtId="3" fontId="11" fillId="33" borderId="12" xfId="0" applyNumberFormat="1" applyFont="1" applyFill="1" applyBorder="1" applyAlignment="1" applyProtection="1">
      <alignment horizontal="right" vertical="center"/>
      <protection locked="0"/>
    </xf>
    <xf numFmtId="9" fontId="11" fillId="33" borderId="0" xfId="0" applyNumberFormat="1" applyFont="1" applyFill="1" applyBorder="1" applyAlignment="1" applyProtection="1">
      <alignment horizontal="right" vertical="center"/>
      <protection locked="0"/>
    </xf>
    <xf numFmtId="3" fontId="11" fillId="33" borderId="17" xfId="0" applyNumberFormat="1" applyFont="1" applyFill="1" applyBorder="1" applyAlignment="1" applyProtection="1">
      <alignment horizontal="right" vertical="center"/>
      <protection locked="0"/>
    </xf>
    <xf numFmtId="3" fontId="11" fillId="34" borderId="12" xfId="0" applyNumberFormat="1" applyFont="1" applyFill="1" applyBorder="1" applyAlignment="1" applyProtection="1">
      <alignment horizontal="right" vertical="center"/>
      <protection locked="0"/>
    </xf>
    <xf numFmtId="9" fontId="11" fillId="34" borderId="0" xfId="0" applyNumberFormat="1" applyFont="1" applyFill="1" applyBorder="1" applyAlignment="1" applyProtection="1">
      <alignment horizontal="right" vertical="center"/>
      <protection locked="0"/>
    </xf>
    <xf numFmtId="3" fontId="11" fillId="34" borderId="17" xfId="0" applyNumberFormat="1" applyFont="1" applyFill="1" applyBorder="1" applyAlignment="1" applyProtection="1">
      <alignment horizontal="right" vertical="center"/>
      <protection locked="0"/>
    </xf>
    <xf numFmtId="9" fontId="11" fillId="0" borderId="26" xfId="0" applyNumberFormat="1" applyFont="1" applyFill="1" applyBorder="1" applyAlignment="1" applyProtection="1">
      <alignment vertical="center"/>
      <protection locked="0"/>
    </xf>
    <xf numFmtId="9" fontId="13" fillId="33" borderId="38" xfId="0" applyNumberFormat="1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9" fontId="12" fillId="0" borderId="26" xfId="0" applyNumberFormat="1" applyFont="1" applyFill="1" applyBorder="1" applyAlignment="1" applyProtection="1">
      <alignment vertical="center"/>
      <protection locked="0"/>
    </xf>
    <xf numFmtId="9" fontId="11" fillId="33" borderId="23" xfId="0" applyNumberFormat="1" applyFont="1" applyFill="1" applyBorder="1" applyAlignment="1" applyProtection="1">
      <alignment vertical="center"/>
      <protection locked="0"/>
    </xf>
    <xf numFmtId="9" fontId="11" fillId="33" borderId="26" xfId="0" applyNumberFormat="1" applyFont="1" applyFill="1" applyBorder="1" applyAlignment="1" applyProtection="1">
      <alignment vertical="center"/>
      <protection locked="0"/>
    </xf>
    <xf numFmtId="9" fontId="11" fillId="33" borderId="24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Alignment="1" applyProtection="1">
      <alignment vertical="center"/>
      <protection locked="0"/>
    </xf>
    <xf numFmtId="3" fontId="11" fillId="0" borderId="0" xfId="0" applyNumberFormat="1" applyFont="1" applyFill="1" applyAlignment="1" applyProtection="1">
      <alignment/>
      <protection locked="0"/>
    </xf>
    <xf numFmtId="9" fontId="11" fillId="33" borderId="38" xfId="0" applyNumberFormat="1" applyFont="1" applyFill="1" applyBorder="1" applyAlignment="1" applyProtection="1">
      <alignment vertical="center"/>
      <protection locked="0"/>
    </xf>
    <xf numFmtId="184" fontId="11" fillId="0" borderId="0" xfId="0" applyNumberFormat="1" applyFont="1" applyFill="1" applyBorder="1" applyAlignment="1" applyProtection="1">
      <alignment vertical="center"/>
      <protection locked="0"/>
    </xf>
    <xf numFmtId="184" fontId="11" fillId="0" borderId="0" xfId="0" applyNumberFormat="1" applyFont="1" applyFill="1" applyBorder="1" applyAlignment="1" applyProtection="1">
      <alignment/>
      <protection locked="0"/>
    </xf>
    <xf numFmtId="9" fontId="14" fillId="34" borderId="38" xfId="0" applyNumberFormat="1" applyFont="1" applyFill="1" applyBorder="1" applyAlignment="1" applyProtection="1">
      <alignment vertical="center"/>
      <protection locked="0"/>
    </xf>
    <xf numFmtId="9" fontId="11" fillId="34" borderId="23" xfId="0" applyNumberFormat="1" applyFont="1" applyFill="1" applyBorder="1" applyAlignment="1" applyProtection="1">
      <alignment vertical="center"/>
      <protection locked="0"/>
    </xf>
    <xf numFmtId="9" fontId="11" fillId="34" borderId="26" xfId="0" applyNumberFormat="1" applyFont="1" applyFill="1" applyBorder="1" applyAlignment="1" applyProtection="1">
      <alignment vertical="center"/>
      <protection locked="0"/>
    </xf>
    <xf numFmtId="9" fontId="11" fillId="34" borderId="24" xfId="0" applyNumberFormat="1" applyFont="1" applyFill="1" applyBorder="1" applyAlignment="1" applyProtection="1">
      <alignment vertical="center"/>
      <protection locked="0"/>
    </xf>
    <xf numFmtId="9" fontId="11" fillId="0" borderId="13" xfId="0" applyNumberFormat="1" applyFont="1" applyFill="1" applyBorder="1" applyAlignment="1" applyProtection="1">
      <alignment vertical="center"/>
      <protection locked="0"/>
    </xf>
    <xf numFmtId="9" fontId="11" fillId="0" borderId="15" xfId="0" applyNumberFormat="1" applyFont="1" applyFill="1" applyBorder="1" applyAlignment="1" applyProtection="1">
      <alignment vertical="center"/>
      <protection locked="0"/>
    </xf>
    <xf numFmtId="9" fontId="11" fillId="0" borderId="16" xfId="0" applyNumberFormat="1" applyFont="1" applyFill="1" applyBorder="1" applyAlignment="1" applyProtection="1">
      <alignment vertical="center"/>
      <protection locked="0"/>
    </xf>
    <xf numFmtId="3" fontId="4" fillId="34" borderId="28" xfId="0" applyNumberFormat="1" applyFont="1" applyFill="1" applyBorder="1" applyAlignment="1" applyProtection="1">
      <alignment vertical="center"/>
      <protection locked="0"/>
    </xf>
    <xf numFmtId="3" fontId="4" fillId="36" borderId="39" xfId="0" applyNumberFormat="1" applyFont="1" applyFill="1" applyBorder="1" applyAlignment="1" applyProtection="1">
      <alignment vertical="center"/>
      <protection/>
    </xf>
    <xf numFmtId="3" fontId="4" fillId="36" borderId="12" xfId="0" applyNumberFormat="1" applyFont="1" applyFill="1" applyBorder="1" applyAlignment="1" applyProtection="1">
      <alignment vertical="center"/>
      <protection/>
    </xf>
    <xf numFmtId="3" fontId="4" fillId="36" borderId="40" xfId="0" applyNumberFormat="1" applyFont="1" applyFill="1" applyBorder="1" applyAlignment="1" applyProtection="1">
      <alignment vertical="center"/>
      <protection/>
    </xf>
    <xf numFmtId="3" fontId="4" fillId="36" borderId="4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  <protection/>
    </xf>
    <xf numFmtId="9" fontId="15" fillId="37" borderId="26" xfId="0" applyNumberFormat="1" applyFont="1" applyFill="1" applyBorder="1" applyAlignment="1" applyProtection="1">
      <alignment vertical="center"/>
      <protection locked="0"/>
    </xf>
    <xf numFmtId="3" fontId="16" fillId="37" borderId="27" xfId="0" applyNumberFormat="1" applyFont="1" applyFill="1" applyBorder="1" applyAlignment="1" applyProtection="1">
      <alignment vertical="center"/>
      <protection locked="0"/>
    </xf>
    <xf numFmtId="3" fontId="4" fillId="37" borderId="27" xfId="0" applyNumberFormat="1" applyFont="1" applyFill="1" applyBorder="1" applyAlignment="1" applyProtection="1">
      <alignment vertical="center"/>
      <protection locked="0"/>
    </xf>
    <xf numFmtId="9" fontId="10" fillId="37" borderId="26" xfId="0" applyNumberFormat="1" applyFont="1" applyFill="1" applyBorder="1" applyAlignment="1" applyProtection="1">
      <alignment vertical="center"/>
      <protection/>
    </xf>
    <xf numFmtId="3" fontId="4" fillId="37" borderId="27" xfId="0" applyNumberFormat="1" applyFont="1" applyFill="1" applyBorder="1" applyAlignment="1" applyProtection="1">
      <alignment vertical="center"/>
      <protection/>
    </xf>
    <xf numFmtId="184" fontId="0" fillId="37" borderId="0" xfId="0" applyNumberFormat="1" applyFill="1" applyBorder="1" applyAlignment="1" applyProtection="1">
      <alignment vertical="center"/>
      <protection locked="0"/>
    </xf>
    <xf numFmtId="3" fontId="0" fillId="37" borderId="0" xfId="0" applyNumberFormat="1" applyFill="1" applyBorder="1" applyAlignment="1" applyProtection="1">
      <alignment vertical="center"/>
      <protection locked="0"/>
    </xf>
    <xf numFmtId="3" fontId="3" fillId="37" borderId="27" xfId="0" applyNumberFormat="1" applyFont="1" applyFill="1" applyBorder="1" applyAlignment="1" applyProtection="1">
      <alignment vertical="center"/>
      <protection locked="0"/>
    </xf>
    <xf numFmtId="9" fontId="6" fillId="37" borderId="26" xfId="0" applyNumberFormat="1" applyFont="1" applyFill="1" applyBorder="1" applyAlignment="1" applyProtection="1">
      <alignment vertical="center"/>
      <protection/>
    </xf>
    <xf numFmtId="3" fontId="3" fillId="37" borderId="27" xfId="0" applyNumberFormat="1" applyFont="1" applyFill="1" applyBorder="1" applyAlignment="1" applyProtection="1">
      <alignment vertical="center"/>
      <protection/>
    </xf>
    <xf numFmtId="3" fontId="12" fillId="37" borderId="26" xfId="0" applyNumberFormat="1" applyFont="1" applyFill="1" applyBorder="1" applyAlignment="1" applyProtection="1">
      <alignment vertical="center"/>
      <protection locked="0"/>
    </xf>
    <xf numFmtId="3" fontId="7" fillId="37" borderId="26" xfId="0" applyNumberFormat="1" applyFont="1" applyFill="1" applyBorder="1" applyAlignment="1" applyProtection="1">
      <alignment vertical="center"/>
      <protection/>
    </xf>
    <xf numFmtId="9" fontId="11" fillId="37" borderId="2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56" fillId="0" borderId="15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top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Continuous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Continuous" vertical="center"/>
      <protection locked="0"/>
    </xf>
    <xf numFmtId="0" fontId="3" fillId="0" borderId="30" xfId="0" applyFont="1" applyFill="1" applyBorder="1" applyAlignment="1" applyProtection="1">
      <alignment horizontal="centerContinuous" vertical="center"/>
      <protection locked="0"/>
    </xf>
    <xf numFmtId="1" fontId="3" fillId="0" borderId="18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Alignment="1">
      <alignment/>
    </xf>
    <xf numFmtId="191" fontId="3" fillId="0" borderId="15" xfId="45" applyNumberFormat="1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43" fontId="6" fillId="0" borderId="0" xfId="45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49" applyFont="1">
      <alignment/>
      <protection/>
    </xf>
    <xf numFmtId="3" fontId="57" fillId="0" borderId="0" xfId="50" applyNumberFormat="1" applyFont="1">
      <alignment/>
      <protection/>
    </xf>
    <xf numFmtId="4" fontId="57" fillId="0" borderId="0" xfId="50" applyNumberFormat="1" applyFont="1">
      <alignment/>
      <protection/>
    </xf>
    <xf numFmtId="49" fontId="58" fillId="0" borderId="0" xfId="50" applyNumberFormat="1" applyFont="1" applyAlignment="1">
      <alignment horizontal="center"/>
      <protection/>
    </xf>
    <xf numFmtId="49" fontId="57" fillId="0" borderId="0" xfId="50" applyNumberFormat="1" applyFont="1" applyAlignment="1">
      <alignment horizontal="center"/>
      <protection/>
    </xf>
    <xf numFmtId="3" fontId="58" fillId="0" borderId="0" xfId="50" applyNumberFormat="1" applyFont="1">
      <alignment/>
      <protection/>
    </xf>
    <xf numFmtId="0" fontId="6" fillId="38" borderId="0" xfId="0" applyFont="1" applyFill="1" applyAlignment="1">
      <alignment/>
    </xf>
    <xf numFmtId="0" fontId="59" fillId="0" borderId="0" xfId="50" applyFont="1">
      <alignment/>
      <protection/>
    </xf>
    <xf numFmtId="3" fontId="7" fillId="0" borderId="0" xfId="49" applyNumberFormat="1" applyFont="1">
      <alignment/>
      <protection/>
    </xf>
    <xf numFmtId="4" fontId="6" fillId="0" borderId="0" xfId="49" applyNumberFormat="1" applyFont="1">
      <alignment/>
      <protection/>
    </xf>
    <xf numFmtId="3" fontId="58" fillId="0" borderId="0" xfId="50" applyNumberFormat="1" applyFont="1" applyFill="1">
      <alignment/>
      <protection/>
    </xf>
    <xf numFmtId="3" fontId="57" fillId="0" borderId="0" xfId="50" applyNumberFormat="1" applyFont="1" applyFill="1">
      <alignment/>
      <protection/>
    </xf>
    <xf numFmtId="43" fontId="6" fillId="0" borderId="0" xfId="0" applyNumberFormat="1" applyFont="1" applyAlignment="1">
      <alignment horizontal="right"/>
    </xf>
    <xf numFmtId="43" fontId="6" fillId="0" borderId="0" xfId="45" applyFont="1" applyAlignment="1">
      <alignment/>
    </xf>
    <xf numFmtId="43" fontId="6" fillId="0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0" fontId="57" fillId="0" borderId="0" xfId="50" applyFont="1">
      <alignment/>
      <protection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3" fontId="6" fillId="0" borderId="0" xfId="49" applyNumberFormat="1" applyFont="1">
      <alignment/>
      <protection/>
    </xf>
    <xf numFmtId="3" fontId="59" fillId="0" borderId="0" xfId="50" applyNumberFormat="1" applyFont="1">
      <alignment/>
      <protection/>
    </xf>
    <xf numFmtId="4" fontId="59" fillId="0" borderId="0" xfId="50" applyNumberFormat="1" applyFont="1">
      <alignment/>
      <protection/>
    </xf>
    <xf numFmtId="43" fontId="6" fillId="39" borderId="0" xfId="45" applyFont="1" applyFill="1" applyAlignment="1">
      <alignment/>
    </xf>
    <xf numFmtId="171" fontId="6" fillId="0" borderId="43" xfId="0" applyNumberFormat="1" applyFont="1" applyFill="1" applyBorder="1" applyAlignment="1">
      <alignment/>
    </xf>
    <xf numFmtId="3" fontId="57" fillId="0" borderId="37" xfId="50" applyNumberFormat="1" applyFont="1" applyBorder="1">
      <alignment/>
      <protection/>
    </xf>
    <xf numFmtId="4" fontId="57" fillId="0" borderId="0" xfId="50" applyNumberFormat="1" applyFont="1" applyBorder="1">
      <alignment/>
      <protection/>
    </xf>
    <xf numFmtId="3" fontId="60" fillId="0" borderId="0" xfId="50" applyNumberFormat="1" applyFont="1">
      <alignment/>
      <protection/>
    </xf>
    <xf numFmtId="43" fontId="6" fillId="0" borderId="44" xfId="45" applyFont="1" applyFill="1" applyBorder="1" applyAlignment="1">
      <alignment/>
    </xf>
    <xf numFmtId="3" fontId="58" fillId="0" borderId="37" xfId="50" applyNumberFormat="1" applyFont="1" applyBorder="1">
      <alignment/>
      <protection/>
    </xf>
    <xf numFmtId="3" fontId="58" fillId="0" borderId="43" xfId="50" applyNumberFormat="1" applyFont="1" applyBorder="1">
      <alignment/>
      <protection/>
    </xf>
    <xf numFmtId="3" fontId="58" fillId="0" borderId="44" xfId="50" applyNumberFormat="1" applyFont="1" applyBorder="1">
      <alignment/>
      <protection/>
    </xf>
    <xf numFmtId="0" fontId="6" fillId="0" borderId="0" xfId="0" applyFont="1" applyFill="1" applyAlignment="1">
      <alignment horizontal="right"/>
    </xf>
    <xf numFmtId="3" fontId="6" fillId="0" borderId="37" xfId="49" applyNumberFormat="1" applyFont="1" applyBorder="1">
      <alignment/>
      <protection/>
    </xf>
    <xf numFmtId="49" fontId="6" fillId="0" borderId="0" xfId="49" applyNumberFormat="1" applyFont="1">
      <alignment/>
      <protection/>
    </xf>
    <xf numFmtId="3" fontId="7" fillId="0" borderId="37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43" fontId="6" fillId="0" borderId="43" xfId="45" applyFont="1" applyFill="1" applyBorder="1" applyAlignment="1">
      <alignment/>
    </xf>
    <xf numFmtId="0" fontId="6" fillId="0" borderId="0" xfId="0" applyFont="1" applyFill="1" applyAlignment="1">
      <alignment horizontal="left"/>
    </xf>
    <xf numFmtId="186" fontId="6" fillId="0" borderId="0" xfId="0" applyNumberFormat="1" applyFont="1" applyAlignment="1">
      <alignment/>
    </xf>
    <xf numFmtId="3" fontId="60" fillId="0" borderId="43" xfId="50" applyNumberFormat="1" applyFont="1" applyBorder="1">
      <alignment/>
      <protection/>
    </xf>
    <xf numFmtId="171" fontId="6" fillId="0" borderId="43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3" fontId="6" fillId="38" borderId="0" xfId="0" applyNumberFormat="1" applyFont="1" applyFill="1" applyAlignment="1">
      <alignment/>
    </xf>
    <xf numFmtId="3" fontId="7" fillId="40" borderId="0" xfId="0" applyNumberFormat="1" applyFont="1" applyFill="1" applyAlignment="1">
      <alignment/>
    </xf>
    <xf numFmtId="43" fontId="6" fillId="0" borderId="0" xfId="45" applyFont="1" applyAlignment="1" quotePrefix="1">
      <alignment/>
    </xf>
    <xf numFmtId="4" fontId="59" fillId="0" borderId="0" xfId="50" applyNumberFormat="1" applyFont="1" applyBorder="1">
      <alignment/>
      <protection/>
    </xf>
    <xf numFmtId="3" fontId="59" fillId="0" borderId="37" xfId="50" applyNumberFormat="1" applyFont="1" applyBorder="1">
      <alignment/>
      <protection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0" fillId="0" borderId="0" xfId="50" applyNumberFormat="1" applyFont="1" applyFill="1" applyBorder="1">
      <alignment/>
      <protection/>
    </xf>
    <xf numFmtId="0" fontId="7" fillId="38" borderId="0" xfId="0" applyFont="1" applyFill="1" applyAlignment="1">
      <alignment/>
    </xf>
    <xf numFmtId="4" fontId="7" fillId="0" borderId="0" xfId="0" applyNumberFormat="1" applyFont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 2" xfId="49"/>
    <cellStyle name="Normal 3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149"/>
  <sheetViews>
    <sheetView showZeros="0" zoomScale="85" zoomScaleNormal="85" zoomScaleSheetLayoutView="75" zoomScalePageLayoutView="0" workbookViewId="0" topLeftCell="A1">
      <pane xSplit="2" ySplit="7" topLeftCell="C7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79" sqref="Q79"/>
    </sheetView>
  </sheetViews>
  <sheetFormatPr defaultColWidth="9.140625" defaultRowHeight="12.75"/>
  <cols>
    <col min="1" max="1" width="4.28125" style="4" customWidth="1"/>
    <col min="2" max="2" width="58.00390625" style="4" customWidth="1"/>
    <col min="3" max="3" width="5.7109375" style="4" customWidth="1"/>
    <col min="4" max="4" width="7.421875" style="5" customWidth="1"/>
    <col min="5" max="5" width="13.140625" style="4" customWidth="1"/>
    <col min="6" max="6" width="4.7109375" style="105" customWidth="1"/>
    <col min="7" max="7" width="16.7109375" style="4" customWidth="1"/>
    <col min="8" max="8" width="5.7109375" style="4" customWidth="1"/>
    <col min="9" max="9" width="13.421875" style="4" customWidth="1"/>
    <col min="10" max="10" width="4.7109375" style="4" customWidth="1"/>
    <col min="11" max="11" width="13.140625" style="4" customWidth="1"/>
    <col min="12" max="12" width="7.28125" style="4" customWidth="1"/>
    <col min="13" max="13" width="12.7109375" style="4" customWidth="1"/>
    <col min="14" max="14" width="6.00390625" style="4" customWidth="1"/>
    <col min="15" max="15" width="14.28125" style="4" customWidth="1"/>
    <col min="16" max="16" width="6.140625" style="4" customWidth="1"/>
    <col min="17" max="17" width="12.8515625" style="4" customWidth="1"/>
    <col min="18" max="18" width="4.7109375" style="4" customWidth="1"/>
    <col min="19" max="19" width="13.28125" style="4" customWidth="1"/>
    <col min="20" max="20" width="4.7109375" style="178" customWidth="1"/>
    <col min="21" max="21" width="16.7109375" style="178" customWidth="1"/>
    <col min="22" max="22" width="16.00390625" style="4" customWidth="1"/>
    <col min="23" max="28" width="10.7109375" style="4" customWidth="1"/>
    <col min="29" max="29" width="12.00390625" style="4" bestFit="1" customWidth="1"/>
    <col min="30" max="30" width="10.7109375" style="4" customWidth="1"/>
    <col min="31" max="31" width="16.00390625" style="4" bestFit="1" customWidth="1"/>
    <col min="32" max="16384" width="9.140625" style="4" customWidth="1"/>
  </cols>
  <sheetData>
    <row r="1" spans="1:21" ht="42" customHeight="1" thickBot="1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90"/>
      <c r="U1" s="176"/>
    </row>
    <row r="2" spans="1:21" ht="29.25" customHeigh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77"/>
      <c r="U2" s="177"/>
    </row>
    <row r="3" spans="1:21" ht="29.25" customHeight="1">
      <c r="A3" s="247" t="s">
        <v>41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8"/>
      <c r="U3" s="248"/>
    </row>
    <row r="4" ht="18" customHeight="1" thickBot="1">
      <c r="A4" s="262" t="s">
        <v>106</v>
      </c>
    </row>
    <row r="5" spans="1:21" ht="24.75" customHeight="1" thickBot="1">
      <c r="A5" s="264" t="s">
        <v>40</v>
      </c>
      <c r="B5" s="6"/>
      <c r="C5" s="7"/>
      <c r="D5" s="8"/>
      <c r="E5" s="9"/>
      <c r="F5" s="106"/>
      <c r="G5" s="107"/>
      <c r="H5" s="75" t="s">
        <v>38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191"/>
      <c r="U5" s="179"/>
    </row>
    <row r="6" spans="1:164" s="113" customFormat="1" ht="21.75" customHeight="1">
      <c r="A6" s="263" t="s">
        <v>125</v>
      </c>
      <c r="B6" s="11"/>
      <c r="C6" s="265" t="s">
        <v>6</v>
      </c>
      <c r="D6" s="266" t="s">
        <v>7</v>
      </c>
      <c r="E6" s="267" t="s">
        <v>1</v>
      </c>
      <c r="F6" s="268" t="s">
        <v>12</v>
      </c>
      <c r="G6" s="108"/>
      <c r="H6" s="76" t="s">
        <v>37</v>
      </c>
      <c r="I6" s="109"/>
      <c r="J6" s="76" t="s">
        <v>4</v>
      </c>
      <c r="K6" s="109"/>
      <c r="L6" s="76" t="s">
        <v>35</v>
      </c>
      <c r="M6" s="109"/>
      <c r="N6" s="76" t="s">
        <v>11</v>
      </c>
      <c r="O6" s="109"/>
      <c r="P6" s="91" t="s">
        <v>9</v>
      </c>
      <c r="Q6" s="110"/>
      <c r="R6" s="91" t="s">
        <v>8</v>
      </c>
      <c r="S6" s="110"/>
      <c r="T6" s="192" t="s">
        <v>31</v>
      </c>
      <c r="U6" s="180"/>
      <c r="V6" s="112"/>
      <c r="W6" s="111"/>
      <c r="X6" s="111"/>
      <c r="Y6" s="112"/>
      <c r="Z6" s="111"/>
      <c r="AA6" s="111"/>
      <c r="AB6" s="112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</row>
    <row r="7" spans="1:164" s="113" customFormat="1" ht="19.5" customHeight="1" thickBot="1">
      <c r="A7" s="12"/>
      <c r="B7" s="13"/>
      <c r="C7" s="14"/>
      <c r="D7" s="15"/>
      <c r="E7" s="269" t="s">
        <v>13</v>
      </c>
      <c r="F7" s="270" t="s">
        <v>13</v>
      </c>
      <c r="G7" s="271"/>
      <c r="H7" s="77" t="s">
        <v>2</v>
      </c>
      <c r="I7" s="114"/>
      <c r="J7" s="77" t="s">
        <v>2</v>
      </c>
      <c r="K7" s="114"/>
      <c r="L7" s="77" t="s">
        <v>36</v>
      </c>
      <c r="M7" s="114"/>
      <c r="N7" s="77" t="s">
        <v>2</v>
      </c>
      <c r="O7" s="114"/>
      <c r="P7" s="92" t="s">
        <v>10</v>
      </c>
      <c r="Q7" s="115"/>
      <c r="R7" s="92" t="s">
        <v>2</v>
      </c>
      <c r="S7" s="115"/>
      <c r="T7" s="193" t="s">
        <v>2</v>
      </c>
      <c r="U7" s="181" t="s">
        <v>34</v>
      </c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</row>
    <row r="8" spans="1:164" s="113" customFormat="1" ht="6" customHeight="1">
      <c r="A8" s="10"/>
      <c r="B8" s="16"/>
      <c r="C8" s="17"/>
      <c r="D8" s="18"/>
      <c r="E8" s="19" t="s">
        <v>14</v>
      </c>
      <c r="F8" s="19"/>
      <c r="G8" s="116"/>
      <c r="H8" s="78"/>
      <c r="I8" s="117"/>
      <c r="J8" s="78"/>
      <c r="K8" s="117"/>
      <c r="L8" s="78"/>
      <c r="M8" s="117"/>
      <c r="N8" s="78"/>
      <c r="O8" s="117"/>
      <c r="P8" s="78"/>
      <c r="Q8" s="117"/>
      <c r="R8" s="78"/>
      <c r="S8" s="117"/>
      <c r="T8" s="194"/>
      <c r="U8" s="182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</row>
    <row r="9" spans="1:164" s="113" customFormat="1" ht="16.5" customHeight="1">
      <c r="A9" s="20">
        <v>1</v>
      </c>
      <c r="B9" s="16" t="s">
        <v>42</v>
      </c>
      <c r="C9" s="10"/>
      <c r="D9" s="21"/>
      <c r="E9" s="22"/>
      <c r="F9" s="118"/>
      <c r="G9" s="104"/>
      <c r="H9" s="223"/>
      <c r="I9" s="119"/>
      <c r="J9" s="223"/>
      <c r="K9" s="119"/>
      <c r="L9" s="223"/>
      <c r="M9" s="119"/>
      <c r="N9" s="223"/>
      <c r="O9" s="119"/>
      <c r="P9" s="223"/>
      <c r="Q9" s="119"/>
      <c r="R9" s="223"/>
      <c r="S9" s="119"/>
      <c r="T9" s="102"/>
      <c r="U9" s="103">
        <f aca="true" t="shared" si="0" ref="U9:U15">IF(P9&lt;0.51,IF(R9&lt;0.51,+Q9+S9,+Q9),IF(R9&lt;0.51,S9,0))</f>
        <v>0</v>
      </c>
      <c r="V9" s="122"/>
      <c r="W9" s="121"/>
      <c r="X9" s="121"/>
      <c r="Y9" s="122"/>
      <c r="Z9" s="121"/>
      <c r="AA9" s="121"/>
      <c r="AB9" s="122"/>
      <c r="AC9" s="121"/>
      <c r="AD9" s="12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</row>
    <row r="10" spans="1:164" s="113" customFormat="1" ht="15.75" customHeight="1">
      <c r="A10" s="10"/>
      <c r="B10" s="11" t="s">
        <v>107</v>
      </c>
      <c r="C10" s="23" t="s">
        <v>0</v>
      </c>
      <c r="D10" s="24">
        <v>1</v>
      </c>
      <c r="E10" s="25">
        <v>27543</v>
      </c>
      <c r="F10" s="207">
        <v>1</v>
      </c>
      <c r="G10" s="104">
        <f aca="true" t="shared" si="1" ref="G10:G15">D10*E10</f>
        <v>27543</v>
      </c>
      <c r="H10" s="223"/>
      <c r="I10" s="120">
        <f aca="true" t="shared" si="2" ref="I10:I15">IF(H10=0,0,SUM($G10*H10))</f>
        <v>0</v>
      </c>
      <c r="J10" s="223"/>
      <c r="K10" s="120"/>
      <c r="L10" s="223">
        <v>0.66</v>
      </c>
      <c r="M10" s="120">
        <f aca="true" t="shared" si="3" ref="M10:M15">IF(L10=0,0,SUM($G10*L10))</f>
        <v>18178.38</v>
      </c>
      <c r="N10" s="223">
        <v>0</v>
      </c>
      <c r="O10" s="120">
        <f aca="true" t="shared" si="4" ref="O10:O15">IF(N10=0,0,SUM($G10*N10))</f>
        <v>0</v>
      </c>
      <c r="P10" s="223">
        <v>0.34</v>
      </c>
      <c r="Q10" s="120">
        <f aca="true" t="shared" si="5" ref="Q10:Q15">IF(P10=0,0,SUM($G10*P10))</f>
        <v>9364.62</v>
      </c>
      <c r="R10" s="223"/>
      <c r="S10" s="120">
        <f aca="true" t="shared" si="6" ref="S10:S15">IF(R10=0,0,SUM($G10*R10))</f>
        <v>0</v>
      </c>
      <c r="T10" s="102"/>
      <c r="U10" s="103">
        <f t="shared" si="0"/>
        <v>9364.62</v>
      </c>
      <c r="V10" s="255">
        <f aca="true" t="shared" si="7" ref="V10:V16">SUM(I10:Q10)</f>
        <v>27544</v>
      </c>
      <c r="W10" s="121">
        <f aca="true" t="shared" si="8" ref="W10:W16">V10-G10</f>
        <v>1</v>
      </c>
      <c r="X10" s="121"/>
      <c r="Y10" s="122"/>
      <c r="Z10" s="121"/>
      <c r="AA10" s="121"/>
      <c r="AB10" s="122"/>
      <c r="AC10" s="121"/>
      <c r="AD10" s="12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</row>
    <row r="11" spans="1:164" s="113" customFormat="1" ht="15.75" customHeight="1">
      <c r="A11" s="10"/>
      <c r="B11" s="11" t="s">
        <v>102</v>
      </c>
      <c r="C11" s="23" t="s">
        <v>0</v>
      </c>
      <c r="D11" s="24">
        <v>1</v>
      </c>
      <c r="E11" s="25">
        <v>27750</v>
      </c>
      <c r="F11" s="207">
        <v>1</v>
      </c>
      <c r="G11" s="104">
        <f t="shared" si="1"/>
        <v>27750</v>
      </c>
      <c r="H11" s="223">
        <v>0</v>
      </c>
      <c r="I11" s="120">
        <f t="shared" si="2"/>
        <v>0</v>
      </c>
      <c r="J11" s="223"/>
      <c r="K11" s="120"/>
      <c r="L11" s="223">
        <v>0.66</v>
      </c>
      <c r="M11" s="120">
        <f t="shared" si="3"/>
        <v>18315</v>
      </c>
      <c r="N11" s="223">
        <v>0</v>
      </c>
      <c r="O11" s="120">
        <f t="shared" si="4"/>
        <v>0</v>
      </c>
      <c r="P11" s="223">
        <v>0.34</v>
      </c>
      <c r="Q11" s="120">
        <f t="shared" si="5"/>
        <v>9435</v>
      </c>
      <c r="R11" s="223"/>
      <c r="S11" s="120">
        <f t="shared" si="6"/>
        <v>0</v>
      </c>
      <c r="T11" s="102"/>
      <c r="U11" s="103">
        <f t="shared" si="0"/>
        <v>9435</v>
      </c>
      <c r="V11" s="255">
        <f t="shared" si="7"/>
        <v>27751</v>
      </c>
      <c r="W11" s="121">
        <f t="shared" si="8"/>
        <v>1</v>
      </c>
      <c r="X11" s="121"/>
      <c r="Y11" s="122"/>
      <c r="Z11" s="121"/>
      <c r="AA11" s="121"/>
      <c r="AB11" s="122"/>
      <c r="AC11" s="121"/>
      <c r="AD11" s="12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</row>
    <row r="12" spans="1:164" s="113" customFormat="1" ht="15.75" customHeight="1">
      <c r="A12" s="10"/>
      <c r="B12" s="11" t="s">
        <v>108</v>
      </c>
      <c r="C12" s="23" t="s">
        <v>61</v>
      </c>
      <c r="D12" s="24">
        <v>1</v>
      </c>
      <c r="E12" s="25">
        <v>103255</v>
      </c>
      <c r="F12" s="207">
        <v>1</v>
      </c>
      <c r="G12" s="104">
        <f t="shared" si="1"/>
        <v>103255</v>
      </c>
      <c r="H12" s="223">
        <v>0</v>
      </c>
      <c r="I12" s="120">
        <f t="shared" si="2"/>
        <v>0</v>
      </c>
      <c r="J12" s="223"/>
      <c r="K12" s="120"/>
      <c r="L12" s="223">
        <v>0.66</v>
      </c>
      <c r="M12" s="120">
        <f t="shared" si="3"/>
        <v>68148.3</v>
      </c>
      <c r="N12" s="223">
        <v>0</v>
      </c>
      <c r="O12" s="120">
        <f t="shared" si="4"/>
        <v>0</v>
      </c>
      <c r="P12" s="223">
        <v>0.34</v>
      </c>
      <c r="Q12" s="120">
        <f t="shared" si="5"/>
        <v>35106.700000000004</v>
      </c>
      <c r="R12" s="223"/>
      <c r="S12" s="120">
        <f t="shared" si="6"/>
        <v>0</v>
      </c>
      <c r="T12" s="102"/>
      <c r="U12" s="103">
        <f t="shared" si="0"/>
        <v>35106.700000000004</v>
      </c>
      <c r="V12" s="255">
        <f t="shared" si="7"/>
        <v>103256</v>
      </c>
      <c r="W12" s="121">
        <f t="shared" si="8"/>
        <v>1</v>
      </c>
      <c r="X12" s="121"/>
      <c r="Y12" s="122"/>
      <c r="Z12" s="121"/>
      <c r="AA12" s="121"/>
      <c r="AB12" s="122"/>
      <c r="AC12" s="121"/>
      <c r="AD12" s="12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</row>
    <row r="13" spans="1:164" s="113" customFormat="1" ht="15.75" customHeight="1">
      <c r="A13" s="10"/>
      <c r="B13" s="11" t="s">
        <v>103</v>
      </c>
      <c r="C13" s="23" t="s">
        <v>61</v>
      </c>
      <c r="D13" s="24">
        <v>1</v>
      </c>
      <c r="E13" s="25">
        <v>93195</v>
      </c>
      <c r="F13" s="207">
        <v>1</v>
      </c>
      <c r="G13" s="104">
        <f t="shared" si="1"/>
        <v>93195</v>
      </c>
      <c r="H13" s="223">
        <v>0</v>
      </c>
      <c r="I13" s="120">
        <f t="shared" si="2"/>
        <v>0</v>
      </c>
      <c r="J13" s="223"/>
      <c r="K13" s="120"/>
      <c r="L13" s="223">
        <v>0.66</v>
      </c>
      <c r="M13" s="120">
        <f t="shared" si="3"/>
        <v>61508.700000000004</v>
      </c>
      <c r="N13" s="223">
        <v>0</v>
      </c>
      <c r="O13" s="120">
        <f t="shared" si="4"/>
        <v>0</v>
      </c>
      <c r="P13" s="223">
        <v>0.34</v>
      </c>
      <c r="Q13" s="120">
        <f t="shared" si="5"/>
        <v>31686.300000000003</v>
      </c>
      <c r="R13" s="223"/>
      <c r="S13" s="120">
        <f t="shared" si="6"/>
        <v>0</v>
      </c>
      <c r="T13" s="102"/>
      <c r="U13" s="103">
        <f t="shared" si="0"/>
        <v>31686.300000000003</v>
      </c>
      <c r="V13" s="255">
        <f t="shared" si="7"/>
        <v>93196</v>
      </c>
      <c r="W13" s="121">
        <f t="shared" si="8"/>
        <v>1</v>
      </c>
      <c r="X13" s="121"/>
      <c r="Y13" s="122"/>
      <c r="Z13" s="121"/>
      <c r="AA13" s="121"/>
      <c r="AB13" s="122"/>
      <c r="AC13" s="121"/>
      <c r="AD13" s="12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</row>
    <row r="14" spans="1:164" s="113" customFormat="1" ht="15.75" customHeight="1">
      <c r="A14" s="10"/>
      <c r="B14" s="11" t="s">
        <v>62</v>
      </c>
      <c r="C14" s="23" t="s">
        <v>61</v>
      </c>
      <c r="D14" s="24">
        <v>1</v>
      </c>
      <c r="E14" s="25">
        <v>83250</v>
      </c>
      <c r="F14" s="207">
        <v>1</v>
      </c>
      <c r="G14" s="104">
        <f t="shared" si="1"/>
        <v>83250</v>
      </c>
      <c r="H14" s="223">
        <v>0</v>
      </c>
      <c r="I14" s="120">
        <f t="shared" si="2"/>
        <v>0</v>
      </c>
      <c r="J14" s="223"/>
      <c r="K14" s="120"/>
      <c r="L14" s="223">
        <v>0.66</v>
      </c>
      <c r="M14" s="120">
        <f t="shared" si="3"/>
        <v>54945</v>
      </c>
      <c r="N14" s="223">
        <v>0</v>
      </c>
      <c r="O14" s="120">
        <f t="shared" si="4"/>
        <v>0</v>
      </c>
      <c r="P14" s="223">
        <v>0.34</v>
      </c>
      <c r="Q14" s="120">
        <f t="shared" si="5"/>
        <v>28305.000000000004</v>
      </c>
      <c r="R14" s="223"/>
      <c r="S14" s="120">
        <f t="shared" si="6"/>
        <v>0</v>
      </c>
      <c r="T14" s="102"/>
      <c r="U14" s="103">
        <f t="shared" si="0"/>
        <v>28305.000000000004</v>
      </c>
      <c r="V14" s="255">
        <f t="shared" si="7"/>
        <v>83251</v>
      </c>
      <c r="W14" s="121">
        <f t="shared" si="8"/>
        <v>1</v>
      </c>
      <c r="X14" s="121"/>
      <c r="Y14" s="122"/>
      <c r="Z14" s="121"/>
      <c r="AA14" s="121"/>
      <c r="AB14" s="122"/>
      <c r="AC14" s="121"/>
      <c r="AD14" s="12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</row>
    <row r="15" spans="1:164" s="113" customFormat="1" ht="15.75" customHeight="1" thickBot="1">
      <c r="A15" s="10"/>
      <c r="B15" s="11" t="s">
        <v>63</v>
      </c>
      <c r="C15" s="23" t="s">
        <v>0</v>
      </c>
      <c r="D15" s="24">
        <v>1</v>
      </c>
      <c r="E15" s="25">
        <v>14750</v>
      </c>
      <c r="F15" s="207">
        <v>1</v>
      </c>
      <c r="G15" s="104">
        <f t="shared" si="1"/>
        <v>14750</v>
      </c>
      <c r="H15" s="223">
        <v>0</v>
      </c>
      <c r="I15" s="120">
        <f t="shared" si="2"/>
        <v>0</v>
      </c>
      <c r="J15" s="223"/>
      <c r="K15" s="120"/>
      <c r="L15" s="223">
        <v>0.66</v>
      </c>
      <c r="M15" s="120">
        <f t="shared" si="3"/>
        <v>9735</v>
      </c>
      <c r="N15" s="223">
        <v>0</v>
      </c>
      <c r="O15" s="120">
        <f t="shared" si="4"/>
        <v>0</v>
      </c>
      <c r="P15" s="223">
        <v>0.34</v>
      </c>
      <c r="Q15" s="120">
        <f t="shared" si="5"/>
        <v>5015</v>
      </c>
      <c r="R15" s="223"/>
      <c r="S15" s="120">
        <f t="shared" si="6"/>
        <v>0</v>
      </c>
      <c r="T15" s="102"/>
      <c r="U15" s="103">
        <f t="shared" si="0"/>
        <v>5015</v>
      </c>
      <c r="V15" s="255">
        <f t="shared" si="7"/>
        <v>14751</v>
      </c>
      <c r="W15" s="121">
        <f t="shared" si="8"/>
        <v>1</v>
      </c>
      <c r="X15" s="121"/>
      <c r="Y15" s="122"/>
      <c r="Z15" s="121"/>
      <c r="AA15" s="121"/>
      <c r="AB15" s="122"/>
      <c r="AC15" s="121"/>
      <c r="AD15" s="12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</row>
    <row r="16" spans="1:164" s="113" customFormat="1" ht="19.5" customHeight="1" thickBot="1">
      <c r="A16" s="123"/>
      <c r="B16" s="124"/>
      <c r="C16" s="125"/>
      <c r="D16" s="126"/>
      <c r="E16" s="127"/>
      <c r="F16" s="208">
        <v>1</v>
      </c>
      <c r="G16" s="128">
        <f>SUM(G10:G15)</f>
        <v>349743</v>
      </c>
      <c r="H16" s="224">
        <f>I16/$G16</f>
        <v>0</v>
      </c>
      <c r="I16" s="129">
        <f>SUM(I10:I15)</f>
        <v>0</v>
      </c>
      <c r="J16" s="232"/>
      <c r="K16" s="129"/>
      <c r="L16" s="232">
        <f>M16/$G16</f>
        <v>0.66</v>
      </c>
      <c r="M16" s="129">
        <f>SUM(M10:M15)</f>
        <v>230830.38</v>
      </c>
      <c r="N16" s="232">
        <f>O16/$G16</f>
        <v>0</v>
      </c>
      <c r="O16" s="129">
        <f>SUM(O10:O15)</f>
        <v>0</v>
      </c>
      <c r="P16" s="232">
        <f>Q16/$G16</f>
        <v>0.34</v>
      </c>
      <c r="Q16" s="130">
        <f>SUM(Q10:Q15)</f>
        <v>118912.62000000001</v>
      </c>
      <c r="R16" s="235"/>
      <c r="S16" s="130">
        <f>SUM(S10:S15)</f>
        <v>0</v>
      </c>
      <c r="T16" s="206"/>
      <c r="U16" s="95">
        <f>SUM(U10:U15)</f>
        <v>118912.62000000001</v>
      </c>
      <c r="V16" s="255">
        <f t="shared" si="7"/>
        <v>349744</v>
      </c>
      <c r="W16" s="121">
        <f t="shared" si="8"/>
        <v>1</v>
      </c>
      <c r="X16" s="121"/>
      <c r="Y16" s="122"/>
      <c r="Z16" s="121"/>
      <c r="AA16" s="121"/>
      <c r="AB16" s="122"/>
      <c r="AC16" s="121"/>
      <c r="AD16" s="12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</row>
    <row r="17" spans="1:164" s="113" customFormat="1" ht="6" customHeight="1">
      <c r="A17" s="10"/>
      <c r="B17" s="16"/>
      <c r="C17" s="17"/>
      <c r="D17" s="26"/>
      <c r="E17" s="27"/>
      <c r="F17" s="209"/>
      <c r="G17" s="116"/>
      <c r="H17" s="225"/>
      <c r="I17" s="117"/>
      <c r="J17" s="225"/>
      <c r="K17" s="117"/>
      <c r="L17" s="225"/>
      <c r="M17" s="117"/>
      <c r="N17" s="225"/>
      <c r="O17" s="117"/>
      <c r="P17" s="225"/>
      <c r="Q17" s="117"/>
      <c r="R17" s="225"/>
      <c r="S17" s="117"/>
      <c r="T17" s="195"/>
      <c r="U17" s="182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</row>
    <row r="18" spans="1:164" s="134" customFormat="1" ht="16.5" customHeight="1">
      <c r="A18" s="20">
        <v>2</v>
      </c>
      <c r="B18" s="16" t="s">
        <v>54</v>
      </c>
      <c r="C18" s="17"/>
      <c r="D18" s="28"/>
      <c r="E18" s="29"/>
      <c r="F18" s="209"/>
      <c r="G18" s="131"/>
      <c r="H18" s="226"/>
      <c r="I18" s="119"/>
      <c r="J18" s="226"/>
      <c r="K18" s="119"/>
      <c r="L18" s="226"/>
      <c r="M18" s="119"/>
      <c r="N18" s="226"/>
      <c r="O18" s="119"/>
      <c r="P18" s="226"/>
      <c r="Q18" s="119"/>
      <c r="R18" s="226"/>
      <c r="S18" s="119"/>
      <c r="T18" s="196"/>
      <c r="U18" s="103">
        <f>IF(P18&lt;0.51,IF(R18&lt;0.51,+Q18+S18,+Q18),IF(R18&lt;0.51,S18,0))</f>
        <v>0</v>
      </c>
      <c r="V18" s="133"/>
      <c r="W18" s="132"/>
      <c r="X18" s="132"/>
      <c r="Y18" s="133"/>
      <c r="Z18" s="132"/>
      <c r="AA18" s="132"/>
      <c r="AB18" s="133"/>
      <c r="AC18" s="132"/>
      <c r="AD18" s="13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</row>
    <row r="19" spans="1:164" s="113" customFormat="1" ht="15" customHeight="1" thickBot="1">
      <c r="A19" s="10"/>
      <c r="B19" s="11" t="s">
        <v>54</v>
      </c>
      <c r="C19" s="23" t="s">
        <v>61</v>
      </c>
      <c r="D19" s="24">
        <v>1</v>
      </c>
      <c r="E19" s="25">
        <v>214304</v>
      </c>
      <c r="F19" s="207">
        <v>1</v>
      </c>
      <c r="G19" s="104">
        <f>D19*E19</f>
        <v>214304</v>
      </c>
      <c r="H19" s="223"/>
      <c r="I19" s="120">
        <f>IF(H19=0,0,SUM($G19*H19))</f>
        <v>0</v>
      </c>
      <c r="J19" s="223"/>
      <c r="K19" s="120"/>
      <c r="L19" s="223">
        <v>0.66</v>
      </c>
      <c r="M19" s="120">
        <f>IF(L19=0,0,SUM($G19*L19))</f>
        <v>141440.64</v>
      </c>
      <c r="N19" s="223">
        <v>0</v>
      </c>
      <c r="O19" s="120">
        <f>IF(N19=0,0,SUM($G19*N19))</f>
        <v>0</v>
      </c>
      <c r="P19" s="223">
        <v>0.34</v>
      </c>
      <c r="Q19" s="120">
        <f>IF(P19=0,0,SUM($G19*P19))</f>
        <v>72863.36</v>
      </c>
      <c r="R19" s="223"/>
      <c r="S19" s="120">
        <f>IF(R19=0,0,SUM($G19*R19))</f>
        <v>0</v>
      </c>
      <c r="T19" s="102"/>
      <c r="U19" s="103">
        <f>IF(P19&lt;0.51,IF(R19&lt;0.51,+Q19+S19,+Q19),IF(R19&lt;0.51,S19,0))</f>
        <v>72863.36</v>
      </c>
      <c r="V19" s="255">
        <f>SUM(I19:Q19)</f>
        <v>214305</v>
      </c>
      <c r="W19" s="121">
        <f>V19-G19</f>
        <v>1</v>
      </c>
      <c r="X19" s="121"/>
      <c r="Y19" s="122"/>
      <c r="Z19" s="121"/>
      <c r="AA19" s="121"/>
      <c r="AB19" s="122"/>
      <c r="AC19" s="121"/>
      <c r="AD19" s="12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</row>
    <row r="20" spans="1:164" s="113" customFormat="1" ht="19.5" customHeight="1" thickBot="1">
      <c r="A20" s="123"/>
      <c r="B20" s="124"/>
      <c r="C20" s="125"/>
      <c r="D20" s="135"/>
      <c r="E20" s="136"/>
      <c r="F20" s="208">
        <v>1</v>
      </c>
      <c r="G20" s="128">
        <f>SUM(G19:G19)</f>
        <v>214304</v>
      </c>
      <c r="H20" s="224">
        <f>I20/$G20</f>
        <v>0</v>
      </c>
      <c r="I20" s="129">
        <f>SUM(I19:I19)</f>
        <v>0</v>
      </c>
      <c r="J20" s="224"/>
      <c r="K20" s="129"/>
      <c r="L20" s="232">
        <f>M20/$G20</f>
        <v>0.66</v>
      </c>
      <c r="M20" s="129">
        <f>SUM(M19)</f>
        <v>141440.64</v>
      </c>
      <c r="N20" s="224"/>
      <c r="O20" s="129"/>
      <c r="P20" s="232">
        <f>Q20/$G20</f>
        <v>0.34</v>
      </c>
      <c r="Q20" s="130">
        <f>SUM(Q19)</f>
        <v>72863.36</v>
      </c>
      <c r="R20" s="235"/>
      <c r="S20" s="130">
        <f>SUM(S19:S19)</f>
        <v>0</v>
      </c>
      <c r="T20" s="206"/>
      <c r="U20" s="95">
        <f>SUM(U19:U19)</f>
        <v>72863.36</v>
      </c>
      <c r="V20" s="122"/>
      <c r="W20" s="121"/>
      <c r="X20" s="121"/>
      <c r="Y20" s="122"/>
      <c r="Z20" s="121"/>
      <c r="AA20" s="121"/>
      <c r="AB20" s="122"/>
      <c r="AC20" s="121"/>
      <c r="AD20" s="12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</row>
    <row r="21" spans="1:164" s="134" customFormat="1" ht="16.5" customHeight="1">
      <c r="A21" s="20">
        <v>3</v>
      </c>
      <c r="B21" s="16" t="s">
        <v>109</v>
      </c>
      <c r="C21" s="17"/>
      <c r="D21" s="28"/>
      <c r="E21" s="29"/>
      <c r="F21" s="209"/>
      <c r="G21" s="131"/>
      <c r="H21" s="226"/>
      <c r="I21" s="119"/>
      <c r="J21" s="226"/>
      <c r="K21" s="119"/>
      <c r="L21" s="226"/>
      <c r="M21" s="119"/>
      <c r="N21" s="226"/>
      <c r="O21" s="119"/>
      <c r="P21" s="226"/>
      <c r="Q21" s="119"/>
      <c r="R21" s="226"/>
      <c r="S21" s="119"/>
      <c r="T21" s="196"/>
      <c r="U21" s="103">
        <f aca="true" t="shared" si="9" ref="U21:U27">IF(P21&lt;0.51,IF(R21&lt;0.51,+Q21+S21,+Q21),IF(R21&lt;0.51,S21,0))</f>
        <v>0</v>
      </c>
      <c r="V21" s="133"/>
      <c r="W21" s="132"/>
      <c r="X21" s="132"/>
      <c r="Y21" s="133"/>
      <c r="Z21" s="132"/>
      <c r="AA21" s="132"/>
      <c r="AB21" s="133"/>
      <c r="AC21" s="132"/>
      <c r="AD21" s="13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</row>
    <row r="22" spans="1:164" s="113" customFormat="1" ht="15" customHeight="1">
      <c r="A22" s="10"/>
      <c r="B22" s="11" t="s">
        <v>110</v>
      </c>
      <c r="C22" s="23" t="s">
        <v>0</v>
      </c>
      <c r="D22" s="24">
        <v>1</v>
      </c>
      <c r="E22" s="25">
        <v>55413</v>
      </c>
      <c r="F22" s="207">
        <v>1</v>
      </c>
      <c r="G22" s="104">
        <f>D22*E22</f>
        <v>55413</v>
      </c>
      <c r="H22" s="223"/>
      <c r="I22" s="120">
        <f>IF(H22=0,0,SUM($G22*H22))</f>
        <v>0</v>
      </c>
      <c r="J22" s="223"/>
      <c r="K22" s="120"/>
      <c r="L22" s="223">
        <v>0</v>
      </c>
      <c r="M22" s="120">
        <f>IF(L22=0,0,SUM($G22*L22))</f>
        <v>0</v>
      </c>
      <c r="N22" s="223">
        <v>0</v>
      </c>
      <c r="O22" s="120">
        <f>IF(N22=0,0,SUM($G22*N22))</f>
        <v>0</v>
      </c>
      <c r="P22" s="223">
        <v>1</v>
      </c>
      <c r="Q22" s="120">
        <f>IF(P22=0,0,SUM($G22*P22))</f>
        <v>55413</v>
      </c>
      <c r="R22" s="223"/>
      <c r="S22" s="120">
        <f>IF(R22=0,0,SUM($G22*R22))</f>
        <v>0</v>
      </c>
      <c r="T22" s="102"/>
      <c r="U22" s="103">
        <f t="shared" si="9"/>
        <v>0</v>
      </c>
      <c r="V22" s="255">
        <f>SUM(I22:Q22)</f>
        <v>55414</v>
      </c>
      <c r="W22" s="121">
        <f>V22-G22</f>
        <v>1</v>
      </c>
      <c r="X22" s="121"/>
      <c r="Y22" s="122"/>
      <c r="Z22" s="121"/>
      <c r="AA22" s="121"/>
      <c r="AB22" s="122"/>
      <c r="AC22" s="121"/>
      <c r="AD22" s="12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</row>
    <row r="23" spans="1:164" s="113" customFormat="1" ht="15" customHeight="1">
      <c r="A23" s="10"/>
      <c r="B23" s="11" t="s">
        <v>111</v>
      </c>
      <c r="C23" s="23" t="s">
        <v>0</v>
      </c>
      <c r="D23" s="32">
        <v>1</v>
      </c>
      <c r="E23" s="33">
        <v>32625</v>
      </c>
      <c r="F23" s="207">
        <v>1</v>
      </c>
      <c r="G23" s="104">
        <f>D23*E23</f>
        <v>32625</v>
      </c>
      <c r="H23" s="223"/>
      <c r="I23" s="120"/>
      <c r="J23" s="223"/>
      <c r="K23" s="120"/>
      <c r="L23" s="223">
        <v>0.66</v>
      </c>
      <c r="M23" s="120">
        <f>IF(L23=0,0,SUM($G23*L23))</f>
        <v>21532.5</v>
      </c>
      <c r="N23" s="223"/>
      <c r="O23" s="120"/>
      <c r="P23" s="223">
        <v>0.34</v>
      </c>
      <c r="Q23" s="120">
        <f>IF(P23=0,0,SUM($G23*P23))</f>
        <v>11092.5</v>
      </c>
      <c r="R23" s="223"/>
      <c r="S23" s="120"/>
      <c r="T23" s="102"/>
      <c r="U23" s="103">
        <f t="shared" si="9"/>
        <v>11092.5</v>
      </c>
      <c r="V23" s="255"/>
      <c r="W23" s="121"/>
      <c r="X23" s="121"/>
      <c r="Y23" s="122"/>
      <c r="Z23" s="121"/>
      <c r="AA23" s="121"/>
      <c r="AB23" s="122"/>
      <c r="AC23" s="121"/>
      <c r="AD23" s="12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</row>
    <row r="24" spans="1:164" s="113" customFormat="1" ht="15" customHeight="1">
      <c r="A24" s="10"/>
      <c r="B24" s="11" t="s">
        <v>112</v>
      </c>
      <c r="C24" s="23" t="s">
        <v>0</v>
      </c>
      <c r="D24" s="32">
        <v>1</v>
      </c>
      <c r="E24" s="33">
        <v>20750</v>
      </c>
      <c r="F24" s="207">
        <v>1</v>
      </c>
      <c r="G24" s="104">
        <f>D24*E24</f>
        <v>20750</v>
      </c>
      <c r="H24" s="223"/>
      <c r="I24" s="120"/>
      <c r="J24" s="223"/>
      <c r="K24" s="120"/>
      <c r="L24" s="223">
        <v>0.66</v>
      </c>
      <c r="M24" s="120">
        <f>IF(L24=0,0,SUM($G24*L24))</f>
        <v>13695</v>
      </c>
      <c r="N24" s="223"/>
      <c r="O24" s="120"/>
      <c r="P24" s="223">
        <v>0.34</v>
      </c>
      <c r="Q24" s="120">
        <f>IF(P24=0,0,SUM($G24*P24))</f>
        <v>7055.000000000001</v>
      </c>
      <c r="R24" s="223"/>
      <c r="S24" s="120"/>
      <c r="T24" s="102"/>
      <c r="U24" s="103">
        <f t="shared" si="9"/>
        <v>7055.000000000001</v>
      </c>
      <c r="V24" s="255"/>
      <c r="W24" s="121"/>
      <c r="X24" s="121"/>
      <c r="Y24" s="122"/>
      <c r="Z24" s="121"/>
      <c r="AA24" s="121"/>
      <c r="AB24" s="122"/>
      <c r="AC24" s="121"/>
      <c r="AD24" s="12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</row>
    <row r="25" spans="1:164" s="113" customFormat="1" ht="15" customHeight="1">
      <c r="A25" s="10"/>
      <c r="B25" s="11" t="s">
        <v>113</v>
      </c>
      <c r="C25" s="23" t="s">
        <v>0</v>
      </c>
      <c r="D25" s="32">
        <v>1</v>
      </c>
      <c r="E25" s="33">
        <v>42500</v>
      </c>
      <c r="F25" s="207"/>
      <c r="G25" s="104">
        <f>D25*E25</f>
        <v>42500</v>
      </c>
      <c r="H25" s="223"/>
      <c r="I25" s="120"/>
      <c r="J25" s="223"/>
      <c r="K25" s="120"/>
      <c r="L25" s="223">
        <v>0</v>
      </c>
      <c r="M25" s="120">
        <f>IF(L25=0,0,SUM($G25*L25))</f>
        <v>0</v>
      </c>
      <c r="N25" s="223"/>
      <c r="O25" s="120"/>
      <c r="P25" s="223">
        <v>1</v>
      </c>
      <c r="Q25" s="120">
        <f>IF(P25=0,0,SUM($G25*P25))</f>
        <v>42500</v>
      </c>
      <c r="R25" s="223"/>
      <c r="S25" s="120"/>
      <c r="T25" s="102"/>
      <c r="U25" s="103">
        <f t="shared" si="9"/>
        <v>0</v>
      </c>
      <c r="V25" s="255"/>
      <c r="W25" s="121"/>
      <c r="X25" s="121"/>
      <c r="Y25" s="122"/>
      <c r="Z25" s="121"/>
      <c r="AA25" s="121"/>
      <c r="AB25" s="122"/>
      <c r="AC25" s="121"/>
      <c r="AD25" s="12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</row>
    <row r="26" spans="1:164" s="113" customFormat="1" ht="15" customHeight="1">
      <c r="A26" s="10"/>
      <c r="B26" s="11" t="s">
        <v>114</v>
      </c>
      <c r="C26" s="23" t="s">
        <v>0</v>
      </c>
      <c r="D26" s="32">
        <v>1</v>
      </c>
      <c r="E26" s="33">
        <v>16812.5</v>
      </c>
      <c r="F26" s="207"/>
      <c r="G26" s="104">
        <f>D26*E26</f>
        <v>16812.5</v>
      </c>
      <c r="H26" s="223"/>
      <c r="I26" s="120"/>
      <c r="J26" s="223"/>
      <c r="K26" s="120"/>
      <c r="L26" s="223"/>
      <c r="M26" s="120"/>
      <c r="N26" s="223"/>
      <c r="O26" s="120"/>
      <c r="P26" s="223">
        <v>1</v>
      </c>
      <c r="Q26" s="120">
        <f>IF(P26=0,0,SUM($G26*P26))</f>
        <v>16812.5</v>
      </c>
      <c r="R26" s="223"/>
      <c r="S26" s="120"/>
      <c r="T26" s="102"/>
      <c r="U26" s="103">
        <f t="shared" si="9"/>
        <v>0</v>
      </c>
      <c r="V26" s="255"/>
      <c r="W26" s="121"/>
      <c r="X26" s="121"/>
      <c r="Y26" s="122"/>
      <c r="Z26" s="121"/>
      <c r="AA26" s="121"/>
      <c r="AB26" s="122"/>
      <c r="AC26" s="121"/>
      <c r="AD26" s="12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</row>
    <row r="27" spans="1:164" s="113" customFormat="1" ht="15" customHeight="1" thickBot="1">
      <c r="A27" s="10"/>
      <c r="B27" s="11"/>
      <c r="C27" s="23"/>
      <c r="D27" s="32"/>
      <c r="E27" s="33"/>
      <c r="F27" s="207"/>
      <c r="G27" s="104"/>
      <c r="H27" s="223"/>
      <c r="I27" s="120"/>
      <c r="J27" s="223"/>
      <c r="K27" s="120"/>
      <c r="L27" s="223"/>
      <c r="M27" s="120"/>
      <c r="N27" s="223"/>
      <c r="O27" s="120"/>
      <c r="P27" s="223"/>
      <c r="Q27" s="120"/>
      <c r="R27" s="223"/>
      <c r="S27" s="120"/>
      <c r="T27" s="102"/>
      <c r="U27" s="103">
        <f t="shared" si="9"/>
        <v>0</v>
      </c>
      <c r="V27" s="255"/>
      <c r="W27" s="121"/>
      <c r="X27" s="121"/>
      <c r="Y27" s="122"/>
      <c r="Z27" s="121"/>
      <c r="AA27" s="121"/>
      <c r="AB27" s="122"/>
      <c r="AC27" s="121"/>
      <c r="AD27" s="12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</row>
    <row r="28" spans="1:164" s="113" customFormat="1" ht="19.5" customHeight="1" thickBot="1">
      <c r="A28" s="123"/>
      <c r="B28" s="124"/>
      <c r="C28" s="125"/>
      <c r="D28" s="135"/>
      <c r="E28" s="136"/>
      <c r="F28" s="208">
        <v>1</v>
      </c>
      <c r="G28" s="128">
        <f>SUM(G22:G27)</f>
        <v>168100.5</v>
      </c>
      <c r="H28" s="232">
        <f>I28/$G28</f>
        <v>0</v>
      </c>
      <c r="I28" s="129">
        <f>SUM(I22)</f>
        <v>0</v>
      </c>
      <c r="J28" s="224"/>
      <c r="K28" s="129"/>
      <c r="L28" s="224"/>
      <c r="M28" s="129">
        <f>SUM(M22:M27)</f>
        <v>35227.5</v>
      </c>
      <c r="N28" s="224"/>
      <c r="O28" s="129"/>
      <c r="P28" s="232">
        <f>Q28/$G28</f>
        <v>0.7904378630640599</v>
      </c>
      <c r="Q28" s="130">
        <f>SUM(Q22:Q27)</f>
        <v>132873</v>
      </c>
      <c r="R28" s="235"/>
      <c r="S28" s="130">
        <f>SUM(S22:S22)</f>
        <v>0</v>
      </c>
      <c r="T28" s="206"/>
      <c r="U28" s="95">
        <f>SUM(U22:U25)</f>
        <v>18147.5</v>
      </c>
      <c r="V28" s="122"/>
      <c r="W28" s="121"/>
      <c r="X28" s="121"/>
      <c r="Y28" s="122"/>
      <c r="Z28" s="121"/>
      <c r="AA28" s="121"/>
      <c r="AB28" s="122"/>
      <c r="AC28" s="121"/>
      <c r="AD28" s="12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</row>
    <row r="29" spans="1:164" s="134" customFormat="1" ht="16.5" customHeight="1">
      <c r="A29" s="20">
        <v>4</v>
      </c>
      <c r="B29" s="16" t="s">
        <v>55</v>
      </c>
      <c r="C29" s="17"/>
      <c r="D29" s="28"/>
      <c r="E29" s="29"/>
      <c r="F29" s="209"/>
      <c r="G29" s="131"/>
      <c r="H29" s="226"/>
      <c r="I29" s="119"/>
      <c r="J29" s="226"/>
      <c r="K29" s="119"/>
      <c r="L29" s="226"/>
      <c r="M29" s="119"/>
      <c r="N29" s="226"/>
      <c r="O29" s="119"/>
      <c r="P29" s="226"/>
      <c r="Q29" s="119"/>
      <c r="R29" s="226"/>
      <c r="S29" s="119"/>
      <c r="T29" s="196"/>
      <c r="U29" s="103">
        <f>IF(P29&lt;0.51,IF(R29&lt;0.51,+Q29+S29,+Q29),IF(R29&lt;0.51,S29,0))</f>
        <v>0</v>
      </c>
      <c r="V29" s="133"/>
      <c r="W29" s="132"/>
      <c r="X29" s="132"/>
      <c r="Y29" s="133"/>
      <c r="Z29" s="132"/>
      <c r="AA29" s="132"/>
      <c r="AB29" s="133"/>
      <c r="AC29" s="132"/>
      <c r="AD29" s="13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</row>
    <row r="30" spans="1:164" s="113" customFormat="1" ht="15.75" customHeight="1">
      <c r="A30" s="10"/>
      <c r="B30" s="11" t="s">
        <v>43</v>
      </c>
      <c r="C30" s="23" t="s">
        <v>0</v>
      </c>
      <c r="D30" s="24">
        <v>1</v>
      </c>
      <c r="E30" s="25">
        <v>53960</v>
      </c>
      <c r="F30" s="207">
        <v>1</v>
      </c>
      <c r="G30" s="104">
        <f>D30*E30</f>
        <v>53960</v>
      </c>
      <c r="H30" s="223"/>
      <c r="I30" s="120">
        <f>IF(H30=0,0,SUM($G30*H30))</f>
        <v>0</v>
      </c>
      <c r="J30" s="223"/>
      <c r="K30" s="120"/>
      <c r="L30" s="223">
        <v>0</v>
      </c>
      <c r="M30" s="120">
        <f>IF(L30=0,0,SUM($G30*L30))</f>
        <v>0</v>
      </c>
      <c r="N30" s="223">
        <v>0</v>
      </c>
      <c r="O30" s="120">
        <f>IF(N30=0,0,SUM($G30*N30))</f>
        <v>0</v>
      </c>
      <c r="P30" s="223">
        <v>1</v>
      </c>
      <c r="Q30" s="120">
        <f>IF(P30=0,0,SUM($G30*P30))</f>
        <v>53960</v>
      </c>
      <c r="R30" s="223"/>
      <c r="S30" s="120">
        <f>IF(R30=0,0,SUM($G30*R30))</f>
        <v>0</v>
      </c>
      <c r="T30" s="102"/>
      <c r="U30" s="103">
        <f>IF(P30&lt;0.51,IF(R30&lt;0.51,+Q30+S30,+Q30),IF(R30&lt;0.51,S30,0))</f>
        <v>0</v>
      </c>
      <c r="V30" s="255">
        <f>SUM(I30:Q30)</f>
        <v>53961</v>
      </c>
      <c r="W30" s="121">
        <f>V30-G30</f>
        <v>1</v>
      </c>
      <c r="X30" s="121"/>
      <c r="Y30" s="122"/>
      <c r="Z30" s="121"/>
      <c r="AA30" s="121"/>
      <c r="AB30" s="122"/>
      <c r="AC30" s="121"/>
      <c r="AD30" s="12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</row>
    <row r="31" spans="1:164" s="113" customFormat="1" ht="15.75" customHeight="1">
      <c r="A31" s="10"/>
      <c r="B31" s="11" t="s">
        <v>44</v>
      </c>
      <c r="C31" s="23" t="s">
        <v>0</v>
      </c>
      <c r="D31" s="24">
        <v>1</v>
      </c>
      <c r="E31" s="25">
        <v>5000</v>
      </c>
      <c r="F31" s="207">
        <v>1</v>
      </c>
      <c r="G31" s="104">
        <f>D31*E31</f>
        <v>5000</v>
      </c>
      <c r="H31" s="223"/>
      <c r="I31" s="120">
        <f>IF(H31=0,0,SUM($G31*H31))</f>
        <v>0</v>
      </c>
      <c r="J31" s="223"/>
      <c r="K31" s="120"/>
      <c r="L31" s="223">
        <v>0</v>
      </c>
      <c r="M31" s="120">
        <f>IF(L31=0,0,SUM($G31*L31))</f>
        <v>0</v>
      </c>
      <c r="N31" s="223">
        <v>0</v>
      </c>
      <c r="O31" s="120">
        <f>IF(N31=0,0,SUM($G31*N31))</f>
        <v>0</v>
      </c>
      <c r="P31" s="223">
        <v>1</v>
      </c>
      <c r="Q31" s="120">
        <f>IF(P31=0,0,SUM($G31*P31))</f>
        <v>5000</v>
      </c>
      <c r="R31" s="223"/>
      <c r="S31" s="120">
        <f>IF(R31=0,0,SUM($G31*R31))</f>
        <v>0</v>
      </c>
      <c r="T31" s="102"/>
      <c r="U31" s="103">
        <f>IF(P31&lt;0.51,IF(R31&lt;0.51,+Q31+S31,+Q31),IF(R31&lt;0.51,S31,0))</f>
        <v>0</v>
      </c>
      <c r="V31" s="255">
        <f>SUM(I31:Q31)</f>
        <v>5001</v>
      </c>
      <c r="W31" s="121">
        <f>V31-G31</f>
        <v>1</v>
      </c>
      <c r="X31" s="121"/>
      <c r="Y31" s="122"/>
      <c r="Z31" s="121"/>
      <c r="AA31" s="121"/>
      <c r="AB31" s="122"/>
      <c r="AC31" s="121"/>
      <c r="AD31" s="12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</row>
    <row r="32" spans="1:164" s="113" customFormat="1" ht="15.75" customHeight="1" thickBot="1">
      <c r="A32" s="10"/>
      <c r="B32" s="11"/>
      <c r="C32" s="23"/>
      <c r="D32" s="24"/>
      <c r="E32" s="25"/>
      <c r="F32" s="207"/>
      <c r="G32" s="104"/>
      <c r="H32" s="223"/>
      <c r="I32" s="120"/>
      <c r="J32" s="223"/>
      <c r="K32" s="120"/>
      <c r="L32" s="223"/>
      <c r="M32" s="120"/>
      <c r="N32" s="223"/>
      <c r="O32" s="120"/>
      <c r="P32" s="223"/>
      <c r="Q32" s="120"/>
      <c r="R32" s="223"/>
      <c r="S32" s="120"/>
      <c r="T32" s="102"/>
      <c r="U32" s="103">
        <f>IF(P32&lt;0.51,IF(R32&lt;0.51,+Q32+S32,+Q32),IF(R32&lt;0.51,S32,0))</f>
        <v>0</v>
      </c>
      <c r="V32" s="122"/>
      <c r="W32" s="121"/>
      <c r="X32" s="121"/>
      <c r="Y32" s="122"/>
      <c r="Z32" s="121"/>
      <c r="AA32" s="121"/>
      <c r="AB32" s="122"/>
      <c r="AC32" s="121"/>
      <c r="AD32" s="12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</row>
    <row r="33" spans="1:164" s="113" customFormat="1" ht="19.5" customHeight="1" thickBot="1">
      <c r="A33" s="123"/>
      <c r="B33" s="124"/>
      <c r="C33" s="125"/>
      <c r="D33" s="135"/>
      <c r="E33" s="136"/>
      <c r="F33" s="208">
        <v>1</v>
      </c>
      <c r="G33" s="128">
        <f>SUM(G30:G32)</f>
        <v>58960</v>
      </c>
      <c r="H33" s="224">
        <f>I33/$G33</f>
        <v>0</v>
      </c>
      <c r="I33" s="129">
        <f>SUM(I30:I32)</f>
        <v>0</v>
      </c>
      <c r="J33" s="224"/>
      <c r="K33" s="129"/>
      <c r="L33" s="224"/>
      <c r="M33" s="129"/>
      <c r="N33" s="224"/>
      <c r="O33" s="129"/>
      <c r="P33" s="232">
        <f>Q33/$G33</f>
        <v>1</v>
      </c>
      <c r="Q33" s="129">
        <f>SUM(Q30:Q32)</f>
        <v>58960</v>
      </c>
      <c r="R33" s="235"/>
      <c r="S33" s="130">
        <f>SUM(S30:S32)</f>
        <v>0</v>
      </c>
      <c r="T33" s="206"/>
      <c r="U33" s="95">
        <f>SUM(U30:U32)</f>
        <v>0</v>
      </c>
      <c r="V33" s="122"/>
      <c r="W33" s="121"/>
      <c r="X33" s="121"/>
      <c r="Y33" s="122"/>
      <c r="Z33" s="121"/>
      <c r="AA33" s="121"/>
      <c r="AB33" s="122"/>
      <c r="AC33" s="121"/>
      <c r="AD33" s="12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</row>
    <row r="34" spans="1:164" s="113" customFormat="1" ht="6" customHeight="1">
      <c r="A34" s="10"/>
      <c r="B34" s="16"/>
      <c r="C34" s="17"/>
      <c r="D34" s="18"/>
      <c r="E34" s="31"/>
      <c r="F34" s="209"/>
      <c r="G34" s="116"/>
      <c r="H34" s="225"/>
      <c r="I34" s="117"/>
      <c r="J34" s="225"/>
      <c r="K34" s="117"/>
      <c r="L34" s="225"/>
      <c r="M34" s="117"/>
      <c r="N34" s="225"/>
      <c r="O34" s="117"/>
      <c r="P34" s="225"/>
      <c r="Q34" s="117"/>
      <c r="R34" s="225"/>
      <c r="S34" s="117"/>
      <c r="T34" s="195"/>
      <c r="U34" s="182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</row>
    <row r="35" spans="1:164" s="113" customFormat="1" ht="16.5" customHeight="1">
      <c r="A35" s="20">
        <v>5</v>
      </c>
      <c r="B35" s="16" t="s">
        <v>46</v>
      </c>
      <c r="C35" s="10"/>
      <c r="D35" s="21"/>
      <c r="E35" s="22"/>
      <c r="F35" s="210"/>
      <c r="G35" s="104"/>
      <c r="H35" s="223"/>
      <c r="I35" s="119"/>
      <c r="J35" s="223"/>
      <c r="K35" s="119"/>
      <c r="L35" s="223"/>
      <c r="M35" s="119"/>
      <c r="N35" s="223"/>
      <c r="O35" s="119"/>
      <c r="P35" s="223"/>
      <c r="Q35" s="119"/>
      <c r="R35" s="223"/>
      <c r="S35" s="119"/>
      <c r="T35" s="102"/>
      <c r="U35" s="103">
        <f>IF(P35&lt;0.51,IF(R35&lt;0.51,+Q35+S35,+Q35),IF(R35&lt;0.51,S35,0))</f>
        <v>0</v>
      </c>
      <c r="V35" s="122"/>
      <c r="W35" s="121"/>
      <c r="X35" s="121"/>
      <c r="Y35" s="122"/>
      <c r="Z35" s="121"/>
      <c r="AA35" s="121"/>
      <c r="AB35" s="122"/>
      <c r="AC35" s="121"/>
      <c r="AD35" s="12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</row>
    <row r="36" spans="1:164" s="113" customFormat="1" ht="16.5" customHeight="1">
      <c r="A36" s="20"/>
      <c r="B36" s="11" t="s">
        <v>69</v>
      </c>
      <c r="C36" s="23" t="s">
        <v>0</v>
      </c>
      <c r="D36" s="32">
        <v>1</v>
      </c>
      <c r="E36" s="33">
        <v>251598</v>
      </c>
      <c r="F36" s="207">
        <v>1</v>
      </c>
      <c r="G36" s="104">
        <f>+D36*E36</f>
        <v>251598</v>
      </c>
      <c r="H36" s="223"/>
      <c r="I36" s="120">
        <f>IF(H36=0,0,SUM($G36*H36))</f>
        <v>0</v>
      </c>
      <c r="J36" s="223"/>
      <c r="K36" s="120"/>
      <c r="L36" s="223">
        <v>0</v>
      </c>
      <c r="M36" s="120">
        <f>IF(L36=0,0,SUM($G36*L36))</f>
        <v>0</v>
      </c>
      <c r="N36" s="223">
        <v>0</v>
      </c>
      <c r="O36" s="120">
        <f>IF(N36=0,0,SUM($G36*N36))</f>
        <v>0</v>
      </c>
      <c r="P36" s="223">
        <v>1</v>
      </c>
      <c r="Q36" s="120">
        <f>IF(P36=0,0,SUM($G36*P36))</f>
        <v>251598</v>
      </c>
      <c r="R36" s="223"/>
      <c r="S36" s="120">
        <f>IF(R36=0,0,SUM($G36*R36))</f>
        <v>0</v>
      </c>
      <c r="T36" s="102"/>
      <c r="U36" s="103">
        <f>IF(P36&lt;0.51,IF(R36&lt;0.51,+Q36+S36,+Q36),IF(R36&lt;0.51,S36,0))</f>
        <v>0</v>
      </c>
      <c r="V36" s="255">
        <f>SUM(I36:Q36)</f>
        <v>251599</v>
      </c>
      <c r="W36" s="121">
        <f>V36-G36</f>
        <v>1</v>
      </c>
      <c r="X36" s="121"/>
      <c r="Y36" s="122"/>
      <c r="Z36" s="121"/>
      <c r="AA36" s="121"/>
      <c r="AB36" s="122"/>
      <c r="AC36" s="121"/>
      <c r="AD36" s="12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</row>
    <row r="37" spans="1:164" s="113" customFormat="1" ht="16.5" customHeight="1">
      <c r="A37" s="20"/>
      <c r="B37" s="11" t="s">
        <v>98</v>
      </c>
      <c r="C37" s="23" t="s">
        <v>0</v>
      </c>
      <c r="D37" s="32">
        <v>1</v>
      </c>
      <c r="E37" s="33">
        <v>54089</v>
      </c>
      <c r="F37" s="207"/>
      <c r="G37" s="104">
        <f>D37*E37</f>
        <v>54089</v>
      </c>
      <c r="H37" s="223"/>
      <c r="I37" s="120"/>
      <c r="J37" s="223"/>
      <c r="K37" s="120"/>
      <c r="L37" s="223">
        <v>0.66</v>
      </c>
      <c r="M37" s="120">
        <f>IF(L37=0,0,SUM($G37*L37))</f>
        <v>35698.740000000005</v>
      </c>
      <c r="N37" s="223"/>
      <c r="O37" s="120"/>
      <c r="P37" s="223">
        <v>0.34</v>
      </c>
      <c r="Q37" s="120">
        <f>IF(P37=0,0,SUM($G37*P37))</f>
        <v>18390.260000000002</v>
      </c>
      <c r="R37" s="223"/>
      <c r="S37" s="120"/>
      <c r="T37" s="102"/>
      <c r="U37" s="103">
        <f>IF(P37&lt;0.51,IF(R37&lt;0.51,+Q37+S37,+Q37),IF(R37&lt;0.51,S37,0))</f>
        <v>18390.260000000002</v>
      </c>
      <c r="V37" s="122"/>
      <c r="W37" s="121"/>
      <c r="X37" s="121"/>
      <c r="Y37" s="122"/>
      <c r="Z37" s="121"/>
      <c r="AA37" s="121"/>
      <c r="AB37" s="122"/>
      <c r="AC37" s="121"/>
      <c r="AD37" s="12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</row>
    <row r="38" spans="1:164" s="113" customFormat="1" ht="16.5" customHeight="1" thickBot="1">
      <c r="A38" s="20"/>
      <c r="B38" s="11"/>
      <c r="C38" s="23"/>
      <c r="D38" s="32"/>
      <c r="E38" s="33"/>
      <c r="F38" s="207"/>
      <c r="G38" s="104"/>
      <c r="H38" s="223"/>
      <c r="I38" s="120"/>
      <c r="J38" s="223"/>
      <c r="K38" s="120"/>
      <c r="L38" s="223"/>
      <c r="M38" s="120"/>
      <c r="N38" s="223"/>
      <c r="O38" s="120"/>
      <c r="P38" s="223"/>
      <c r="Q38" s="120"/>
      <c r="R38" s="223"/>
      <c r="S38" s="120"/>
      <c r="T38" s="102"/>
      <c r="U38" s="103"/>
      <c r="V38" s="122"/>
      <c r="W38" s="121"/>
      <c r="X38" s="121"/>
      <c r="Y38" s="122"/>
      <c r="Z38" s="121"/>
      <c r="AA38" s="121"/>
      <c r="AB38" s="122"/>
      <c r="AC38" s="121"/>
      <c r="AD38" s="12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</row>
    <row r="39" spans="1:164" s="113" customFormat="1" ht="19.5" customHeight="1" thickBot="1">
      <c r="A39" s="123"/>
      <c r="B39" s="124"/>
      <c r="C39" s="125"/>
      <c r="D39" s="135"/>
      <c r="E39" s="136"/>
      <c r="F39" s="208">
        <v>1</v>
      </c>
      <c r="G39" s="128">
        <f>SUM(G35:G37)</f>
        <v>305687</v>
      </c>
      <c r="H39" s="224">
        <f>I39/$G39</f>
        <v>0</v>
      </c>
      <c r="I39" s="129">
        <f>SUM(I37)</f>
        <v>0</v>
      </c>
      <c r="J39" s="232">
        <f>K39/$G39</f>
        <v>0</v>
      </c>
      <c r="K39" s="129">
        <f>SUM(K34:K37)</f>
        <v>0</v>
      </c>
      <c r="L39" s="232">
        <f>M39/$G39</f>
        <v>0.11678200250583115</v>
      </c>
      <c r="M39" s="129">
        <f>SUM(M36:M37)</f>
        <v>35698.740000000005</v>
      </c>
      <c r="N39" s="232">
        <f>O39/$G39</f>
        <v>0</v>
      </c>
      <c r="O39" s="129">
        <f>SUM(O34:O37)</f>
        <v>0</v>
      </c>
      <c r="P39" s="232">
        <f>Q39/$G39</f>
        <v>0.8832179974941688</v>
      </c>
      <c r="Q39" s="129">
        <f>SUM(Q34:Q37)</f>
        <v>269988.26</v>
      </c>
      <c r="R39" s="235"/>
      <c r="S39" s="130">
        <f>SUM(S37)</f>
        <v>0</v>
      </c>
      <c r="T39" s="206"/>
      <c r="U39" s="95">
        <f>SUM(U35:U37)</f>
        <v>18390.260000000002</v>
      </c>
      <c r="V39" s="122"/>
      <c r="W39" s="121"/>
      <c r="X39" s="121"/>
      <c r="Y39" s="122"/>
      <c r="Z39" s="121"/>
      <c r="AA39" s="121"/>
      <c r="AB39" s="122"/>
      <c r="AC39" s="121"/>
      <c r="AD39" s="12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</row>
    <row r="40" spans="1:164" s="134" customFormat="1" ht="16.5" customHeight="1">
      <c r="A40" s="20">
        <v>6</v>
      </c>
      <c r="B40" s="16" t="s">
        <v>47</v>
      </c>
      <c r="C40" s="17"/>
      <c r="D40" s="28"/>
      <c r="E40" s="29"/>
      <c r="F40" s="209"/>
      <c r="G40" s="131"/>
      <c r="H40" s="226"/>
      <c r="I40" s="119"/>
      <c r="J40" s="226"/>
      <c r="K40" s="119"/>
      <c r="L40" s="226"/>
      <c r="M40" s="119"/>
      <c r="N40" s="226"/>
      <c r="O40" s="119"/>
      <c r="P40" s="226"/>
      <c r="Q40" s="119"/>
      <c r="R40" s="226"/>
      <c r="S40" s="119"/>
      <c r="T40" s="196"/>
      <c r="U40" s="103">
        <f aca="true" t="shared" si="10" ref="U40:U56">IF(P40&lt;0.51,IF(R40&lt;0.51,+Q40+S40,+Q40),IF(R40&lt;0.51,S40,0))</f>
        <v>0</v>
      </c>
      <c r="V40" s="133"/>
      <c r="W40" s="132"/>
      <c r="X40" s="132"/>
      <c r="Y40" s="133"/>
      <c r="Z40" s="132"/>
      <c r="AA40" s="132"/>
      <c r="AB40" s="133"/>
      <c r="AC40" s="132"/>
      <c r="AD40" s="13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</row>
    <row r="41" spans="1:164" s="113" customFormat="1" ht="15.75" customHeight="1">
      <c r="A41" s="10"/>
      <c r="B41" s="11" t="s">
        <v>99</v>
      </c>
      <c r="C41" s="23" t="s">
        <v>0</v>
      </c>
      <c r="D41" s="24">
        <v>1</v>
      </c>
      <c r="E41" s="25">
        <v>125098</v>
      </c>
      <c r="F41" s="207">
        <v>1</v>
      </c>
      <c r="G41" s="104">
        <f aca="true" t="shared" si="11" ref="G41:G50">D41*E41</f>
        <v>125098</v>
      </c>
      <c r="H41" s="223"/>
      <c r="I41" s="120">
        <f aca="true" t="shared" si="12" ref="I41:I56">IF(H41=0,0,SUM($G41*H41))</f>
        <v>0</v>
      </c>
      <c r="J41" s="223"/>
      <c r="K41" s="120"/>
      <c r="L41" s="223">
        <v>0.66</v>
      </c>
      <c r="M41" s="120">
        <f aca="true" t="shared" si="13" ref="M41:M56">IF(L41=0,0,SUM($G41*L41))</f>
        <v>82564.68000000001</v>
      </c>
      <c r="N41" s="223">
        <v>0</v>
      </c>
      <c r="O41" s="120">
        <f aca="true" t="shared" si="14" ref="O41:O56">IF(N41=0,0,SUM($G41*N41))</f>
        <v>0</v>
      </c>
      <c r="P41" s="223">
        <v>0.34</v>
      </c>
      <c r="Q41" s="120">
        <f aca="true" t="shared" si="15" ref="Q41:Q56">IF(P41=0,0,SUM($G41*P41))</f>
        <v>42533.32</v>
      </c>
      <c r="R41" s="223"/>
      <c r="S41" s="120">
        <f aca="true" t="shared" si="16" ref="S41:S56">IF(R41=0,0,SUM($G41*R41))</f>
        <v>0</v>
      </c>
      <c r="T41" s="102"/>
      <c r="U41" s="103">
        <f t="shared" si="10"/>
        <v>42533.32</v>
      </c>
      <c r="V41" s="255">
        <f aca="true" t="shared" si="17" ref="V41:V56">SUM(I41:Q41)</f>
        <v>125099</v>
      </c>
      <c r="W41" s="121">
        <f aca="true" t="shared" si="18" ref="W41:W56">V41-G41</f>
        <v>1</v>
      </c>
      <c r="X41" s="121"/>
      <c r="Y41" s="122"/>
      <c r="Z41" s="121"/>
      <c r="AA41" s="121"/>
      <c r="AB41" s="122"/>
      <c r="AC41" s="121"/>
      <c r="AD41" s="12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</row>
    <row r="42" spans="1:164" s="113" customFormat="1" ht="15.75" customHeight="1">
      <c r="A42" s="10"/>
      <c r="B42" s="11" t="s">
        <v>115</v>
      </c>
      <c r="C42" s="23" t="s">
        <v>0</v>
      </c>
      <c r="D42" s="24">
        <v>1</v>
      </c>
      <c r="E42" s="25">
        <v>95562.8</v>
      </c>
      <c r="F42" s="207">
        <v>1</v>
      </c>
      <c r="G42" s="104">
        <f t="shared" si="11"/>
        <v>95562.8</v>
      </c>
      <c r="H42" s="223"/>
      <c r="I42" s="120">
        <f t="shared" si="12"/>
        <v>0</v>
      </c>
      <c r="J42" s="223"/>
      <c r="K42" s="120"/>
      <c r="L42" s="223">
        <v>0.66</v>
      </c>
      <c r="M42" s="120">
        <f t="shared" si="13"/>
        <v>63071.448000000004</v>
      </c>
      <c r="N42" s="223">
        <v>0</v>
      </c>
      <c r="O42" s="120">
        <f t="shared" si="14"/>
        <v>0</v>
      </c>
      <c r="P42" s="223">
        <v>0.34</v>
      </c>
      <c r="Q42" s="120">
        <f t="shared" si="15"/>
        <v>32491.352000000003</v>
      </c>
      <c r="R42" s="223"/>
      <c r="S42" s="120">
        <f t="shared" si="16"/>
        <v>0</v>
      </c>
      <c r="T42" s="102"/>
      <c r="U42" s="103">
        <f t="shared" si="10"/>
        <v>32491.352000000003</v>
      </c>
      <c r="V42" s="255">
        <f t="shared" si="17"/>
        <v>95563.8</v>
      </c>
      <c r="W42" s="121">
        <f t="shared" si="18"/>
        <v>1</v>
      </c>
      <c r="X42" s="121"/>
      <c r="Y42" s="122"/>
      <c r="Z42" s="121"/>
      <c r="AA42" s="121"/>
      <c r="AB42" s="122"/>
      <c r="AC42" s="121"/>
      <c r="AD42" s="12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</row>
    <row r="43" spans="1:164" s="113" customFormat="1" ht="15.75" customHeight="1">
      <c r="A43" s="10"/>
      <c r="B43" s="11" t="s">
        <v>64</v>
      </c>
      <c r="C43" s="23" t="s">
        <v>61</v>
      </c>
      <c r="D43" s="24">
        <v>1</v>
      </c>
      <c r="E43" s="25">
        <v>176000</v>
      </c>
      <c r="F43" s="207">
        <v>1</v>
      </c>
      <c r="G43" s="104">
        <f t="shared" si="11"/>
        <v>176000</v>
      </c>
      <c r="H43" s="223"/>
      <c r="I43" s="120">
        <f t="shared" si="12"/>
        <v>0</v>
      </c>
      <c r="J43" s="223"/>
      <c r="K43" s="120"/>
      <c r="L43" s="223">
        <v>0.66</v>
      </c>
      <c r="M43" s="120">
        <f t="shared" si="13"/>
        <v>116160</v>
      </c>
      <c r="N43" s="223">
        <v>0</v>
      </c>
      <c r="O43" s="120">
        <f t="shared" si="14"/>
        <v>0</v>
      </c>
      <c r="P43" s="223">
        <v>0.34</v>
      </c>
      <c r="Q43" s="120">
        <f t="shared" si="15"/>
        <v>59840.00000000001</v>
      </c>
      <c r="R43" s="223"/>
      <c r="S43" s="120">
        <f t="shared" si="16"/>
        <v>0</v>
      </c>
      <c r="T43" s="102"/>
      <c r="U43" s="103">
        <f t="shared" si="10"/>
        <v>59840.00000000001</v>
      </c>
      <c r="V43" s="255">
        <f t="shared" si="17"/>
        <v>176001</v>
      </c>
      <c r="W43" s="121">
        <f t="shared" si="18"/>
        <v>1</v>
      </c>
      <c r="X43" s="121"/>
      <c r="Y43" s="122"/>
      <c r="Z43" s="121"/>
      <c r="AA43" s="121"/>
      <c r="AB43" s="122"/>
      <c r="AC43" s="121"/>
      <c r="AD43" s="12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</row>
    <row r="44" spans="1:164" s="113" customFormat="1" ht="15.75" customHeight="1">
      <c r="A44" s="10"/>
      <c r="B44" s="11" t="s">
        <v>48</v>
      </c>
      <c r="C44" s="23" t="s">
        <v>61</v>
      </c>
      <c r="D44" s="24">
        <v>1</v>
      </c>
      <c r="E44" s="25">
        <v>110750</v>
      </c>
      <c r="F44" s="207">
        <v>1</v>
      </c>
      <c r="G44" s="104">
        <f t="shared" si="11"/>
        <v>110750</v>
      </c>
      <c r="H44" s="223"/>
      <c r="I44" s="120">
        <f t="shared" si="12"/>
        <v>0</v>
      </c>
      <c r="J44" s="223"/>
      <c r="K44" s="120"/>
      <c r="L44" s="223">
        <v>0.66</v>
      </c>
      <c r="M44" s="120">
        <f t="shared" si="13"/>
        <v>73095</v>
      </c>
      <c r="N44" s="223">
        <v>0</v>
      </c>
      <c r="O44" s="120">
        <f t="shared" si="14"/>
        <v>0</v>
      </c>
      <c r="P44" s="223">
        <v>0.34</v>
      </c>
      <c r="Q44" s="120">
        <f t="shared" si="15"/>
        <v>37655</v>
      </c>
      <c r="R44" s="223"/>
      <c r="S44" s="120">
        <f t="shared" si="16"/>
        <v>0</v>
      </c>
      <c r="T44" s="102"/>
      <c r="U44" s="103">
        <f t="shared" si="10"/>
        <v>37655</v>
      </c>
      <c r="V44" s="255">
        <f t="shared" si="17"/>
        <v>110751</v>
      </c>
      <c r="W44" s="121">
        <f t="shared" si="18"/>
        <v>1</v>
      </c>
      <c r="X44" s="121"/>
      <c r="Y44" s="122"/>
      <c r="Z44" s="121"/>
      <c r="AA44" s="121"/>
      <c r="AB44" s="122"/>
      <c r="AC44" s="121"/>
      <c r="AD44" s="12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</row>
    <row r="45" spans="1:164" s="113" customFormat="1" ht="15.75" customHeight="1">
      <c r="A45" s="10"/>
      <c r="B45" s="11" t="s">
        <v>116</v>
      </c>
      <c r="C45" s="23" t="s">
        <v>61</v>
      </c>
      <c r="D45" s="24">
        <v>1</v>
      </c>
      <c r="E45" s="25">
        <v>80750</v>
      </c>
      <c r="F45" s="207">
        <v>1</v>
      </c>
      <c r="G45" s="104">
        <f t="shared" si="11"/>
        <v>80750</v>
      </c>
      <c r="H45" s="223"/>
      <c r="I45" s="120">
        <f t="shared" si="12"/>
        <v>0</v>
      </c>
      <c r="J45" s="223"/>
      <c r="K45" s="120"/>
      <c r="L45" s="223">
        <v>0.66</v>
      </c>
      <c r="M45" s="120">
        <f t="shared" si="13"/>
        <v>53295</v>
      </c>
      <c r="N45" s="223">
        <v>0</v>
      </c>
      <c r="O45" s="120">
        <f t="shared" si="14"/>
        <v>0</v>
      </c>
      <c r="P45" s="223">
        <v>0.34</v>
      </c>
      <c r="Q45" s="120">
        <f t="shared" si="15"/>
        <v>27455.000000000004</v>
      </c>
      <c r="R45" s="223"/>
      <c r="S45" s="120">
        <f t="shared" si="16"/>
        <v>0</v>
      </c>
      <c r="T45" s="102"/>
      <c r="U45" s="103">
        <f t="shared" si="10"/>
        <v>27455.000000000004</v>
      </c>
      <c r="V45" s="255">
        <f t="shared" si="17"/>
        <v>80751</v>
      </c>
      <c r="W45" s="121">
        <f t="shared" si="18"/>
        <v>1</v>
      </c>
      <c r="X45" s="121"/>
      <c r="Y45" s="122"/>
      <c r="Z45" s="121"/>
      <c r="AA45" s="121"/>
      <c r="AB45" s="122"/>
      <c r="AC45" s="121"/>
      <c r="AD45" s="12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</row>
    <row r="46" spans="1:164" s="113" customFormat="1" ht="15.75" customHeight="1">
      <c r="A46" s="10"/>
      <c r="B46" s="11" t="s">
        <v>65</v>
      </c>
      <c r="C46" s="23" t="s">
        <v>61</v>
      </c>
      <c r="D46" s="24">
        <v>1</v>
      </c>
      <c r="E46" s="25">
        <v>103250</v>
      </c>
      <c r="F46" s="207">
        <v>1</v>
      </c>
      <c r="G46" s="104">
        <f t="shared" si="11"/>
        <v>103250</v>
      </c>
      <c r="H46" s="223"/>
      <c r="I46" s="120">
        <f t="shared" si="12"/>
        <v>0</v>
      </c>
      <c r="J46" s="223"/>
      <c r="K46" s="120"/>
      <c r="L46" s="223">
        <v>0.66</v>
      </c>
      <c r="M46" s="120">
        <f t="shared" si="13"/>
        <v>68145</v>
      </c>
      <c r="N46" s="223">
        <v>0</v>
      </c>
      <c r="O46" s="120">
        <f t="shared" si="14"/>
        <v>0</v>
      </c>
      <c r="P46" s="223">
        <v>0.34</v>
      </c>
      <c r="Q46" s="120">
        <f t="shared" si="15"/>
        <v>35105</v>
      </c>
      <c r="R46" s="223"/>
      <c r="S46" s="120">
        <f t="shared" si="16"/>
        <v>0</v>
      </c>
      <c r="T46" s="102"/>
      <c r="U46" s="103">
        <f t="shared" si="10"/>
        <v>35105</v>
      </c>
      <c r="V46" s="255">
        <f t="shared" si="17"/>
        <v>103251</v>
      </c>
      <c r="W46" s="121">
        <f t="shared" si="18"/>
        <v>1</v>
      </c>
      <c r="X46" s="121"/>
      <c r="Y46" s="122"/>
      <c r="Z46" s="121"/>
      <c r="AA46" s="121"/>
      <c r="AB46" s="122"/>
      <c r="AC46" s="121"/>
      <c r="AD46" s="12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</row>
    <row r="47" spans="1:164" s="113" customFormat="1" ht="15.75" customHeight="1">
      <c r="A47" s="10"/>
      <c r="B47" s="11" t="s">
        <v>49</v>
      </c>
      <c r="C47" s="23" t="s">
        <v>61</v>
      </c>
      <c r="D47" s="24">
        <v>1</v>
      </c>
      <c r="E47" s="25">
        <v>221407</v>
      </c>
      <c r="F47" s="207">
        <v>1</v>
      </c>
      <c r="G47" s="104">
        <f t="shared" si="11"/>
        <v>221407</v>
      </c>
      <c r="H47" s="223"/>
      <c r="I47" s="120">
        <f t="shared" si="12"/>
        <v>0</v>
      </c>
      <c r="J47" s="223"/>
      <c r="K47" s="120"/>
      <c r="L47" s="223">
        <v>0.66</v>
      </c>
      <c r="M47" s="120">
        <f t="shared" si="13"/>
        <v>146128.62</v>
      </c>
      <c r="N47" s="223">
        <v>0</v>
      </c>
      <c r="O47" s="120">
        <f t="shared" si="14"/>
        <v>0</v>
      </c>
      <c r="P47" s="223">
        <v>0.34</v>
      </c>
      <c r="Q47" s="120">
        <f t="shared" si="15"/>
        <v>75278.38</v>
      </c>
      <c r="R47" s="223"/>
      <c r="S47" s="120">
        <f t="shared" si="16"/>
        <v>0</v>
      </c>
      <c r="T47" s="102"/>
      <c r="U47" s="103">
        <f t="shared" si="10"/>
        <v>75278.38</v>
      </c>
      <c r="V47" s="255">
        <f t="shared" si="17"/>
        <v>221408</v>
      </c>
      <c r="W47" s="121">
        <f t="shared" si="18"/>
        <v>1</v>
      </c>
      <c r="X47" s="121"/>
      <c r="Y47" s="122"/>
      <c r="Z47" s="121"/>
      <c r="AA47" s="121"/>
      <c r="AB47" s="122"/>
      <c r="AC47" s="121"/>
      <c r="AD47" s="12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</row>
    <row r="48" spans="1:164" s="113" customFormat="1" ht="15.75" customHeight="1">
      <c r="A48" s="10"/>
      <c r="B48" s="11" t="s">
        <v>117</v>
      </c>
      <c r="C48" s="23" t="s">
        <v>0</v>
      </c>
      <c r="D48" s="24">
        <v>1</v>
      </c>
      <c r="E48" s="25">
        <v>92875</v>
      </c>
      <c r="F48" s="207">
        <v>1</v>
      </c>
      <c r="G48" s="104">
        <f t="shared" si="11"/>
        <v>92875</v>
      </c>
      <c r="H48" s="223"/>
      <c r="I48" s="120">
        <f t="shared" si="12"/>
        <v>0</v>
      </c>
      <c r="J48" s="223"/>
      <c r="K48" s="120"/>
      <c r="L48" s="223">
        <v>0.66</v>
      </c>
      <c r="M48" s="120">
        <f t="shared" si="13"/>
        <v>61297.5</v>
      </c>
      <c r="N48" s="223">
        <v>0</v>
      </c>
      <c r="O48" s="120">
        <f t="shared" si="14"/>
        <v>0</v>
      </c>
      <c r="P48" s="223">
        <v>0.34</v>
      </c>
      <c r="Q48" s="120">
        <f t="shared" si="15"/>
        <v>31577.500000000004</v>
      </c>
      <c r="R48" s="223"/>
      <c r="S48" s="120">
        <f t="shared" si="16"/>
        <v>0</v>
      </c>
      <c r="T48" s="102"/>
      <c r="U48" s="103">
        <f t="shared" si="10"/>
        <v>31577.500000000004</v>
      </c>
      <c r="V48" s="255">
        <f t="shared" si="17"/>
        <v>92876</v>
      </c>
      <c r="W48" s="121">
        <f t="shared" si="18"/>
        <v>1</v>
      </c>
      <c r="X48" s="121"/>
      <c r="Y48" s="122"/>
      <c r="Z48" s="121"/>
      <c r="AA48" s="121"/>
      <c r="AB48" s="122"/>
      <c r="AC48" s="121"/>
      <c r="AD48" s="12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</row>
    <row r="49" spans="1:164" s="113" customFormat="1" ht="15.75" customHeight="1">
      <c r="A49" s="10"/>
      <c r="B49" s="11" t="s">
        <v>118</v>
      </c>
      <c r="C49" s="23" t="s">
        <v>0</v>
      </c>
      <c r="D49" s="24">
        <v>1</v>
      </c>
      <c r="E49" s="25">
        <v>230835</v>
      </c>
      <c r="F49" s="207">
        <v>1</v>
      </c>
      <c r="G49" s="104">
        <f t="shared" si="11"/>
        <v>230835</v>
      </c>
      <c r="H49" s="223"/>
      <c r="I49" s="120">
        <f t="shared" si="12"/>
        <v>0</v>
      </c>
      <c r="J49" s="223"/>
      <c r="K49" s="120"/>
      <c r="L49" s="223">
        <v>0.66</v>
      </c>
      <c r="M49" s="120">
        <f t="shared" si="13"/>
        <v>152351.1</v>
      </c>
      <c r="N49" s="223">
        <v>0</v>
      </c>
      <c r="O49" s="120">
        <f t="shared" si="14"/>
        <v>0</v>
      </c>
      <c r="P49" s="223">
        <v>0.34</v>
      </c>
      <c r="Q49" s="120">
        <f t="shared" si="15"/>
        <v>78483.90000000001</v>
      </c>
      <c r="R49" s="223"/>
      <c r="S49" s="120">
        <f t="shared" si="16"/>
        <v>0</v>
      </c>
      <c r="T49" s="102"/>
      <c r="U49" s="103">
        <f t="shared" si="10"/>
        <v>78483.90000000001</v>
      </c>
      <c r="V49" s="255">
        <f t="shared" si="17"/>
        <v>230836</v>
      </c>
      <c r="W49" s="121">
        <f t="shared" si="18"/>
        <v>1</v>
      </c>
      <c r="X49" s="121"/>
      <c r="Y49" s="122"/>
      <c r="Z49" s="121"/>
      <c r="AA49" s="121"/>
      <c r="AB49" s="122"/>
      <c r="AC49" s="121"/>
      <c r="AD49" s="12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</row>
    <row r="50" spans="1:164" s="113" customFormat="1" ht="15.75" customHeight="1">
      <c r="A50" s="10"/>
      <c r="B50" s="11" t="s">
        <v>50</v>
      </c>
      <c r="C50" s="23" t="s">
        <v>0</v>
      </c>
      <c r="D50" s="24">
        <v>1</v>
      </c>
      <c r="E50" s="25">
        <v>42655</v>
      </c>
      <c r="F50" s="207">
        <v>1</v>
      </c>
      <c r="G50" s="104">
        <f t="shared" si="11"/>
        <v>42655</v>
      </c>
      <c r="H50" s="223"/>
      <c r="I50" s="120">
        <f t="shared" si="12"/>
        <v>0</v>
      </c>
      <c r="J50" s="223"/>
      <c r="K50" s="120"/>
      <c r="L50" s="223"/>
      <c r="M50" s="120">
        <f t="shared" si="13"/>
        <v>0</v>
      </c>
      <c r="N50" s="223">
        <v>0</v>
      </c>
      <c r="O50" s="120">
        <f t="shared" si="14"/>
        <v>0</v>
      </c>
      <c r="P50" s="223">
        <v>1</v>
      </c>
      <c r="Q50" s="120">
        <f t="shared" si="15"/>
        <v>42655</v>
      </c>
      <c r="R50" s="223"/>
      <c r="S50" s="120">
        <f t="shared" si="16"/>
        <v>0</v>
      </c>
      <c r="T50" s="102"/>
      <c r="U50" s="103">
        <f t="shared" si="10"/>
        <v>0</v>
      </c>
      <c r="V50" s="255">
        <f t="shared" si="17"/>
        <v>42656</v>
      </c>
      <c r="W50" s="121">
        <f t="shared" si="18"/>
        <v>1</v>
      </c>
      <c r="X50" s="121"/>
      <c r="Y50" s="122"/>
      <c r="Z50" s="121"/>
      <c r="AA50" s="121"/>
      <c r="AB50" s="122"/>
      <c r="AC50" s="121"/>
      <c r="AD50" s="12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</row>
    <row r="51" spans="1:164" s="113" customFormat="1" ht="15.75" customHeight="1">
      <c r="A51" s="10"/>
      <c r="B51" s="11" t="s">
        <v>56</v>
      </c>
      <c r="C51" s="23" t="s">
        <v>61</v>
      </c>
      <c r="D51" s="24">
        <v>1</v>
      </c>
      <c r="E51" s="25">
        <v>93850</v>
      </c>
      <c r="F51" s="207">
        <v>1</v>
      </c>
      <c r="G51" s="104">
        <v>93850.5</v>
      </c>
      <c r="H51" s="223"/>
      <c r="I51" s="120">
        <f t="shared" si="12"/>
        <v>0</v>
      </c>
      <c r="J51" s="223"/>
      <c r="K51" s="120"/>
      <c r="L51" s="223">
        <v>0.66</v>
      </c>
      <c r="M51" s="120">
        <f t="shared" si="13"/>
        <v>61941.33</v>
      </c>
      <c r="N51" s="223">
        <v>0</v>
      </c>
      <c r="O51" s="120">
        <f t="shared" si="14"/>
        <v>0</v>
      </c>
      <c r="P51" s="223">
        <v>0.34</v>
      </c>
      <c r="Q51" s="120">
        <f t="shared" si="15"/>
        <v>31909.170000000002</v>
      </c>
      <c r="R51" s="223"/>
      <c r="S51" s="120">
        <f t="shared" si="16"/>
        <v>0</v>
      </c>
      <c r="T51" s="102"/>
      <c r="U51" s="103">
        <f t="shared" si="10"/>
        <v>31909.170000000002</v>
      </c>
      <c r="V51" s="255">
        <f t="shared" si="17"/>
        <v>93851.5</v>
      </c>
      <c r="W51" s="121">
        <f t="shared" si="18"/>
        <v>1</v>
      </c>
      <c r="X51" s="121"/>
      <c r="Y51" s="122"/>
      <c r="Z51" s="121"/>
      <c r="AA51" s="121"/>
      <c r="AB51" s="122"/>
      <c r="AC51" s="121"/>
      <c r="AD51" s="12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</row>
    <row r="52" spans="1:164" s="113" customFormat="1" ht="15.75" customHeight="1">
      <c r="A52" s="10"/>
      <c r="B52" s="11" t="s">
        <v>51</v>
      </c>
      <c r="C52" s="23" t="s">
        <v>61</v>
      </c>
      <c r="D52" s="24">
        <v>1</v>
      </c>
      <c r="E52" s="25">
        <v>189999</v>
      </c>
      <c r="F52" s="207">
        <v>1</v>
      </c>
      <c r="G52" s="104">
        <v>189999</v>
      </c>
      <c r="H52" s="223"/>
      <c r="I52" s="120">
        <f t="shared" si="12"/>
        <v>0</v>
      </c>
      <c r="J52" s="223"/>
      <c r="K52" s="120"/>
      <c r="L52" s="223">
        <v>0.66</v>
      </c>
      <c r="M52" s="120">
        <f t="shared" si="13"/>
        <v>125399.34000000001</v>
      </c>
      <c r="N52" s="223">
        <v>0</v>
      </c>
      <c r="O52" s="120">
        <f t="shared" si="14"/>
        <v>0</v>
      </c>
      <c r="P52" s="223">
        <v>0.34</v>
      </c>
      <c r="Q52" s="120">
        <f t="shared" si="15"/>
        <v>64599.66</v>
      </c>
      <c r="R52" s="223"/>
      <c r="S52" s="120">
        <f t="shared" si="16"/>
        <v>0</v>
      </c>
      <c r="T52" s="102"/>
      <c r="U52" s="103">
        <f t="shared" si="10"/>
        <v>64599.66</v>
      </c>
      <c r="V52" s="255">
        <f t="shared" si="17"/>
        <v>190000</v>
      </c>
      <c r="W52" s="121">
        <f t="shared" si="18"/>
        <v>1</v>
      </c>
      <c r="X52" s="121"/>
      <c r="Y52" s="122"/>
      <c r="Z52" s="121"/>
      <c r="AA52" s="121"/>
      <c r="AB52" s="122"/>
      <c r="AC52" s="121"/>
      <c r="AD52" s="12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</row>
    <row r="53" spans="1:164" s="113" customFormat="1" ht="15.75" customHeight="1">
      <c r="A53" s="10"/>
      <c r="B53" s="11" t="s">
        <v>100</v>
      </c>
      <c r="C53" s="23" t="s">
        <v>61</v>
      </c>
      <c r="D53" s="24">
        <v>1</v>
      </c>
      <c r="E53" s="25">
        <v>12143</v>
      </c>
      <c r="F53" s="207">
        <v>1</v>
      </c>
      <c r="G53" s="104">
        <f>D53*E53</f>
        <v>12143</v>
      </c>
      <c r="H53" s="223"/>
      <c r="I53" s="120">
        <f t="shared" si="12"/>
        <v>0</v>
      </c>
      <c r="J53" s="223"/>
      <c r="K53" s="120"/>
      <c r="L53" s="223">
        <v>0.66</v>
      </c>
      <c r="M53" s="120">
        <f t="shared" si="13"/>
        <v>8014.38</v>
      </c>
      <c r="N53" s="223">
        <v>0</v>
      </c>
      <c r="O53" s="120">
        <f t="shared" si="14"/>
        <v>0</v>
      </c>
      <c r="P53" s="223">
        <v>0.34</v>
      </c>
      <c r="Q53" s="120">
        <f t="shared" si="15"/>
        <v>4128.62</v>
      </c>
      <c r="R53" s="223"/>
      <c r="S53" s="120">
        <f t="shared" si="16"/>
        <v>0</v>
      </c>
      <c r="T53" s="102"/>
      <c r="U53" s="103">
        <f t="shared" si="10"/>
        <v>4128.62</v>
      </c>
      <c r="V53" s="255">
        <f t="shared" si="17"/>
        <v>12144</v>
      </c>
      <c r="W53" s="121">
        <f t="shared" si="18"/>
        <v>1</v>
      </c>
      <c r="X53" s="121"/>
      <c r="Y53" s="122"/>
      <c r="Z53" s="121"/>
      <c r="AA53" s="121"/>
      <c r="AB53" s="122"/>
      <c r="AC53" s="121"/>
      <c r="AD53" s="12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</row>
    <row r="54" spans="1:164" s="113" customFormat="1" ht="15.75" customHeight="1">
      <c r="A54" s="10"/>
      <c r="B54" s="11" t="s">
        <v>52</v>
      </c>
      <c r="C54" s="23" t="s">
        <v>61</v>
      </c>
      <c r="D54" s="24">
        <v>1</v>
      </c>
      <c r="E54" s="25">
        <v>147754</v>
      </c>
      <c r="F54" s="207">
        <v>1</v>
      </c>
      <c r="G54" s="104">
        <f>D54*E54</f>
        <v>147754</v>
      </c>
      <c r="H54" s="223"/>
      <c r="I54" s="120">
        <f t="shared" si="12"/>
        <v>0</v>
      </c>
      <c r="J54" s="223"/>
      <c r="K54" s="120"/>
      <c r="L54" s="223">
        <v>0.66</v>
      </c>
      <c r="M54" s="120">
        <f t="shared" si="13"/>
        <v>97517.64</v>
      </c>
      <c r="N54" s="223">
        <v>0</v>
      </c>
      <c r="O54" s="120">
        <f t="shared" si="14"/>
        <v>0</v>
      </c>
      <c r="P54" s="223">
        <v>0.34</v>
      </c>
      <c r="Q54" s="120">
        <f t="shared" si="15"/>
        <v>50236.36</v>
      </c>
      <c r="R54" s="223"/>
      <c r="S54" s="120">
        <f t="shared" si="16"/>
        <v>0</v>
      </c>
      <c r="T54" s="102"/>
      <c r="U54" s="103">
        <f t="shared" si="10"/>
        <v>50236.36</v>
      </c>
      <c r="V54" s="255">
        <f t="shared" si="17"/>
        <v>147755</v>
      </c>
      <c r="W54" s="121">
        <f t="shared" si="18"/>
        <v>1</v>
      </c>
      <c r="X54" s="121"/>
      <c r="Y54" s="122"/>
      <c r="Z54" s="121"/>
      <c r="AA54" s="121"/>
      <c r="AB54" s="122"/>
      <c r="AC54" s="121"/>
      <c r="AD54" s="12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</row>
    <row r="55" spans="1:164" s="113" customFormat="1" ht="15.75" customHeight="1">
      <c r="A55" s="10"/>
      <c r="B55" s="11" t="s">
        <v>101</v>
      </c>
      <c r="C55" s="23" t="s">
        <v>0</v>
      </c>
      <c r="D55" s="24">
        <v>1</v>
      </c>
      <c r="E55" s="25">
        <v>159439</v>
      </c>
      <c r="F55" s="207">
        <v>1</v>
      </c>
      <c r="G55" s="104">
        <f>D55*E55</f>
        <v>159439</v>
      </c>
      <c r="H55" s="223"/>
      <c r="I55" s="120">
        <f t="shared" si="12"/>
        <v>0</v>
      </c>
      <c r="J55" s="223"/>
      <c r="K55" s="120"/>
      <c r="L55" s="223">
        <v>0.66</v>
      </c>
      <c r="M55" s="120">
        <f t="shared" si="13"/>
        <v>105229.74</v>
      </c>
      <c r="N55" s="223">
        <v>0</v>
      </c>
      <c r="O55" s="120">
        <f t="shared" si="14"/>
        <v>0</v>
      </c>
      <c r="P55" s="223">
        <v>0.34</v>
      </c>
      <c r="Q55" s="120">
        <f t="shared" si="15"/>
        <v>54209.26</v>
      </c>
      <c r="R55" s="223"/>
      <c r="S55" s="120">
        <f t="shared" si="16"/>
        <v>0</v>
      </c>
      <c r="T55" s="102"/>
      <c r="U55" s="103">
        <f t="shared" si="10"/>
        <v>54209.26</v>
      </c>
      <c r="V55" s="255">
        <f t="shared" si="17"/>
        <v>159440</v>
      </c>
      <c r="W55" s="121">
        <f t="shared" si="18"/>
        <v>1</v>
      </c>
      <c r="X55" s="121"/>
      <c r="Y55" s="122"/>
      <c r="Z55" s="121"/>
      <c r="AA55" s="121"/>
      <c r="AB55" s="122"/>
      <c r="AC55" s="121"/>
      <c r="AD55" s="12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</row>
    <row r="56" spans="1:164" s="113" customFormat="1" ht="15.75" customHeight="1" thickBot="1">
      <c r="A56" s="10"/>
      <c r="B56" s="11" t="s">
        <v>66</v>
      </c>
      <c r="C56" s="23" t="s">
        <v>0</v>
      </c>
      <c r="D56" s="24">
        <v>1</v>
      </c>
      <c r="E56" s="25">
        <v>57125</v>
      </c>
      <c r="F56" s="207">
        <v>1</v>
      </c>
      <c r="G56" s="104">
        <f>D56*E56</f>
        <v>57125</v>
      </c>
      <c r="H56" s="223"/>
      <c r="I56" s="120">
        <f t="shared" si="12"/>
        <v>0</v>
      </c>
      <c r="J56" s="223"/>
      <c r="K56" s="120"/>
      <c r="L56" s="223">
        <v>0.66</v>
      </c>
      <c r="M56" s="120">
        <f t="shared" si="13"/>
        <v>37702.5</v>
      </c>
      <c r="N56" s="223">
        <v>0</v>
      </c>
      <c r="O56" s="120">
        <f t="shared" si="14"/>
        <v>0</v>
      </c>
      <c r="P56" s="223">
        <v>0.34</v>
      </c>
      <c r="Q56" s="120">
        <f t="shared" si="15"/>
        <v>19422.5</v>
      </c>
      <c r="R56" s="223"/>
      <c r="S56" s="120">
        <f t="shared" si="16"/>
        <v>0</v>
      </c>
      <c r="T56" s="102"/>
      <c r="U56" s="103">
        <f t="shared" si="10"/>
        <v>19422.5</v>
      </c>
      <c r="V56" s="255">
        <f t="shared" si="17"/>
        <v>57126</v>
      </c>
      <c r="W56" s="121">
        <f t="shared" si="18"/>
        <v>1</v>
      </c>
      <c r="X56" s="121"/>
      <c r="Y56" s="122"/>
      <c r="Z56" s="121"/>
      <c r="AA56" s="121"/>
      <c r="AB56" s="122"/>
      <c r="AC56" s="121"/>
      <c r="AD56" s="12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</row>
    <row r="57" spans="1:164" s="113" customFormat="1" ht="19.5" customHeight="1" thickBot="1">
      <c r="A57" s="123"/>
      <c r="B57" s="124"/>
      <c r="C57" s="125"/>
      <c r="D57" s="135"/>
      <c r="E57" s="136"/>
      <c r="F57" s="208">
        <v>1</v>
      </c>
      <c r="G57" s="128">
        <f>SUM(G41:G56)</f>
        <v>1939493.3</v>
      </c>
      <c r="H57" s="224">
        <f>I57/$G57</f>
        <v>0</v>
      </c>
      <c r="I57" s="129"/>
      <c r="J57" s="224"/>
      <c r="K57" s="129"/>
      <c r="L57" s="232">
        <f>M57/$G57</f>
        <v>0.6454847139714275</v>
      </c>
      <c r="M57" s="129">
        <f>SUM(M41:M56)</f>
        <v>1251913.278</v>
      </c>
      <c r="N57" s="232">
        <f>O57/$G57</f>
        <v>0</v>
      </c>
      <c r="O57" s="129">
        <f>SUM(O41:O56)</f>
        <v>0</v>
      </c>
      <c r="P57" s="232">
        <f>Q57/$G57</f>
        <v>0.3545152860285725</v>
      </c>
      <c r="Q57" s="130">
        <f>SUM(Q41:Q56)</f>
        <v>687580.022</v>
      </c>
      <c r="R57" s="235">
        <f>S57/$G57</f>
        <v>0</v>
      </c>
      <c r="S57" s="130">
        <f>SUM(S56:S56)</f>
        <v>0</v>
      </c>
      <c r="T57" s="206"/>
      <c r="U57" s="95">
        <f>SUM(U40:U56)</f>
        <v>644925.022</v>
      </c>
      <c r="V57" s="122"/>
      <c r="W57" s="121"/>
      <c r="X57" s="121"/>
      <c r="Y57" s="122"/>
      <c r="Z57" s="121"/>
      <c r="AA57" s="121"/>
      <c r="AB57" s="122"/>
      <c r="AC57" s="121"/>
      <c r="AD57" s="12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</row>
    <row r="58" spans="1:164" s="113" customFormat="1" ht="17.25" customHeight="1">
      <c r="A58" s="20">
        <v>7</v>
      </c>
      <c r="B58" s="16" t="s">
        <v>60</v>
      </c>
      <c r="C58" s="10"/>
      <c r="D58" s="21"/>
      <c r="E58" s="22"/>
      <c r="F58" s="210"/>
      <c r="G58" s="104"/>
      <c r="H58" s="223"/>
      <c r="I58" s="119"/>
      <c r="J58" s="223"/>
      <c r="K58" s="119"/>
      <c r="L58" s="223"/>
      <c r="M58" s="119"/>
      <c r="N58" s="223"/>
      <c r="O58" s="119"/>
      <c r="P58" s="223"/>
      <c r="Q58" s="119"/>
      <c r="R58" s="223"/>
      <c r="S58" s="119"/>
      <c r="T58" s="102"/>
      <c r="U58" s="103">
        <f aca="true" t="shared" si="19" ref="U58:U63">IF(P58&lt;0.51,IF(R58&lt;0.51,+Q58+S58,+Q58),IF(R58&lt;0.51,S58,0))</f>
        <v>0</v>
      </c>
      <c r="V58" s="122"/>
      <c r="W58" s="121"/>
      <c r="X58" s="121"/>
      <c r="Y58" s="122"/>
      <c r="Z58" s="121"/>
      <c r="AA58" s="121"/>
      <c r="AB58" s="122"/>
      <c r="AC58" s="121"/>
      <c r="AD58" s="12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</row>
    <row r="59" spans="1:164" s="113" customFormat="1" ht="15.75" customHeight="1">
      <c r="A59" s="20"/>
      <c r="B59" s="11" t="s">
        <v>57</v>
      </c>
      <c r="C59" s="23" t="s">
        <v>0</v>
      </c>
      <c r="D59" s="32">
        <v>4</v>
      </c>
      <c r="E59" s="33">
        <v>15000</v>
      </c>
      <c r="F59" s="207">
        <v>1</v>
      </c>
      <c r="G59" s="104">
        <f>D59*E59</f>
        <v>60000</v>
      </c>
      <c r="H59" s="223"/>
      <c r="I59" s="120">
        <f>IF(H59=0,0,SUM($G59*H59))</f>
        <v>0</v>
      </c>
      <c r="J59" s="223"/>
      <c r="K59" s="120"/>
      <c r="L59" s="223">
        <v>0.66</v>
      </c>
      <c r="M59" s="120">
        <f>IF(L59=0,0,SUM($G59*L59))</f>
        <v>39600</v>
      </c>
      <c r="N59" s="223">
        <v>0</v>
      </c>
      <c r="O59" s="120">
        <f>IF(N59=0,0,SUM($G59*N59))</f>
        <v>0</v>
      </c>
      <c r="P59" s="223">
        <v>0.34</v>
      </c>
      <c r="Q59" s="120">
        <f>IF(P59=0,0,SUM($G59*P59))</f>
        <v>20400</v>
      </c>
      <c r="R59" s="223"/>
      <c r="S59" s="120">
        <f>IF(R59=0,0,SUM($G59*R59))</f>
        <v>0</v>
      </c>
      <c r="T59" s="102"/>
      <c r="U59" s="103">
        <f t="shared" si="19"/>
        <v>20400</v>
      </c>
      <c r="V59" s="255">
        <f>SUM(I59:Q59)</f>
        <v>60001</v>
      </c>
      <c r="W59" s="121">
        <f>V59-G59</f>
        <v>1</v>
      </c>
      <c r="X59" s="121"/>
      <c r="Y59" s="122"/>
      <c r="Z59" s="121"/>
      <c r="AA59" s="121"/>
      <c r="AB59" s="122"/>
      <c r="AC59" s="121"/>
      <c r="AD59" s="12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</row>
    <row r="60" spans="1:164" s="113" customFormat="1" ht="15.75" customHeight="1">
      <c r="A60" s="20"/>
      <c r="B60" s="11" t="s">
        <v>58</v>
      </c>
      <c r="C60" s="23" t="s">
        <v>0</v>
      </c>
      <c r="D60" s="32">
        <v>79</v>
      </c>
      <c r="E60" s="33">
        <f>1000*1.25</f>
        <v>1250</v>
      </c>
      <c r="F60" s="207">
        <v>1</v>
      </c>
      <c r="G60" s="104">
        <f>D60*E60</f>
        <v>98750</v>
      </c>
      <c r="H60" s="223"/>
      <c r="I60" s="120">
        <f>IF(H60=0,0,SUM($G60*H60))</f>
        <v>0</v>
      </c>
      <c r="J60" s="223"/>
      <c r="K60" s="120"/>
      <c r="L60" s="223">
        <v>0.66</v>
      </c>
      <c r="M60" s="120">
        <f>IF(L60=0,0,SUM($G60*L60))</f>
        <v>65175</v>
      </c>
      <c r="N60" s="223">
        <v>0</v>
      </c>
      <c r="O60" s="120">
        <f>IF(N60=0,0,SUM($G60*N60))</f>
        <v>0</v>
      </c>
      <c r="P60" s="223">
        <v>0.34</v>
      </c>
      <c r="Q60" s="120">
        <f>IF(P60=0,0,SUM($G60*P60))</f>
        <v>33575</v>
      </c>
      <c r="R60" s="223"/>
      <c r="S60" s="120">
        <f>IF(R60=0,0,SUM($G60*R60))</f>
        <v>0</v>
      </c>
      <c r="T60" s="102"/>
      <c r="U60" s="103">
        <f t="shared" si="19"/>
        <v>33575</v>
      </c>
      <c r="V60" s="255">
        <f>SUM(I60:Q60)</f>
        <v>98751</v>
      </c>
      <c r="W60" s="121">
        <f>V60-G60</f>
        <v>1</v>
      </c>
      <c r="X60" s="121"/>
      <c r="Y60" s="122"/>
      <c r="Z60" s="121"/>
      <c r="AA60" s="121"/>
      <c r="AB60" s="122"/>
      <c r="AC60" s="121"/>
      <c r="AD60" s="12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</row>
    <row r="61" spans="1:164" s="113" customFormat="1" ht="15.75" customHeight="1">
      <c r="A61" s="20"/>
      <c r="B61" s="11" t="s">
        <v>182</v>
      </c>
      <c r="C61" s="23"/>
      <c r="D61" s="32"/>
      <c r="E61" s="33"/>
      <c r="F61" s="207"/>
      <c r="G61" s="104">
        <v>-30044</v>
      </c>
      <c r="H61" s="223"/>
      <c r="I61" s="120"/>
      <c r="J61" s="223"/>
      <c r="K61" s="120"/>
      <c r="L61" s="223">
        <v>1</v>
      </c>
      <c r="M61" s="120">
        <f>IF(L61=0,0,SUM($G61*L61))</f>
        <v>-30044</v>
      </c>
      <c r="N61" s="223"/>
      <c r="O61" s="120"/>
      <c r="P61" s="223">
        <v>0</v>
      </c>
      <c r="Q61" s="120">
        <f>IF(P61=0,0,SUM($G61*P61))</f>
        <v>0</v>
      </c>
      <c r="R61" s="223"/>
      <c r="S61" s="120"/>
      <c r="T61" s="102"/>
      <c r="U61" s="103">
        <f t="shared" si="19"/>
        <v>0</v>
      </c>
      <c r="V61" s="255">
        <f>SUM(I61:Q61)</f>
        <v>-30043</v>
      </c>
      <c r="W61" s="121">
        <f>V61-G61</f>
        <v>1</v>
      </c>
      <c r="X61" s="121"/>
      <c r="Y61" s="122"/>
      <c r="Z61" s="121"/>
      <c r="AA61" s="121"/>
      <c r="AB61" s="122"/>
      <c r="AC61" s="121"/>
      <c r="AD61" s="12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</row>
    <row r="62" spans="1:164" s="113" customFormat="1" ht="15.75" customHeight="1">
      <c r="A62" s="20"/>
      <c r="B62" s="11" t="s">
        <v>59</v>
      </c>
      <c r="C62" s="23" t="s">
        <v>61</v>
      </c>
      <c r="D62" s="32">
        <v>1</v>
      </c>
      <c r="E62" s="33">
        <v>157000</v>
      </c>
      <c r="F62" s="207">
        <v>1</v>
      </c>
      <c r="G62" s="104">
        <f>D62*E62</f>
        <v>157000</v>
      </c>
      <c r="H62" s="223"/>
      <c r="I62" s="120">
        <f>IF(H62=0,0,SUM($G62*H62))</f>
        <v>0</v>
      </c>
      <c r="J62" s="223"/>
      <c r="K62" s="120"/>
      <c r="L62" s="223">
        <v>0.66</v>
      </c>
      <c r="M62" s="120">
        <f>IF(L62=0,0,SUM($G62*L62))</f>
        <v>103620</v>
      </c>
      <c r="N62" s="223">
        <v>0</v>
      </c>
      <c r="O62" s="120">
        <f>IF(N62=0,0,SUM($G62*N62))</f>
        <v>0</v>
      </c>
      <c r="P62" s="223">
        <v>0.34</v>
      </c>
      <c r="Q62" s="120">
        <f>IF(P62=0,0,SUM($G62*P62))</f>
        <v>53380.00000000001</v>
      </c>
      <c r="R62" s="223"/>
      <c r="S62" s="120">
        <f>IF(R62=0,0,SUM($G62*R62))</f>
        <v>0</v>
      </c>
      <c r="T62" s="102"/>
      <c r="U62" s="103">
        <f t="shared" si="19"/>
        <v>53380.00000000001</v>
      </c>
      <c r="V62" s="255">
        <f>SUM(I62:Q62)</f>
        <v>157001</v>
      </c>
      <c r="W62" s="121">
        <f>V62-G62</f>
        <v>1</v>
      </c>
      <c r="X62" s="121"/>
      <c r="Y62" s="122"/>
      <c r="Z62" s="121"/>
      <c r="AA62" s="121"/>
      <c r="AB62" s="122"/>
      <c r="AC62" s="121"/>
      <c r="AD62" s="12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</row>
    <row r="63" spans="1:164" s="113" customFormat="1" ht="15.75" customHeight="1" thickBot="1">
      <c r="A63" s="20"/>
      <c r="B63" s="11" t="s">
        <v>45</v>
      </c>
      <c r="C63" s="23" t="s">
        <v>0</v>
      </c>
      <c r="D63" s="24">
        <v>1</v>
      </c>
      <c r="E63" s="25">
        <v>80593</v>
      </c>
      <c r="F63" s="207">
        <v>1</v>
      </c>
      <c r="G63" s="104">
        <f>D63*E63</f>
        <v>80593</v>
      </c>
      <c r="H63" s="223"/>
      <c r="I63" s="120">
        <f>IF(H63=0,0,SUM($G63*H63))</f>
        <v>0</v>
      </c>
      <c r="J63" s="223"/>
      <c r="K63" s="120"/>
      <c r="L63" s="223">
        <v>0</v>
      </c>
      <c r="M63" s="120">
        <f>IF(L63=0,0,SUM($G63*L63))</f>
        <v>0</v>
      </c>
      <c r="N63" s="223">
        <v>0</v>
      </c>
      <c r="O63" s="120">
        <f>IF(N63=0,0,SUM($G63*N63))</f>
        <v>0</v>
      </c>
      <c r="P63" s="223">
        <v>1</v>
      </c>
      <c r="Q63" s="120">
        <f>IF(P63=0,0,SUM($G63*P63))</f>
        <v>80593</v>
      </c>
      <c r="R63" s="223"/>
      <c r="S63" s="120">
        <f>IF(R63=0,0,SUM($G63*R63))</f>
        <v>0</v>
      </c>
      <c r="T63" s="102"/>
      <c r="U63" s="103">
        <f t="shared" si="19"/>
        <v>0</v>
      </c>
      <c r="V63" s="255">
        <f>SUM(I63:Q63)</f>
        <v>80594</v>
      </c>
      <c r="W63" s="121">
        <f>V63-G63</f>
        <v>1</v>
      </c>
      <c r="X63" s="121"/>
      <c r="Y63" s="122"/>
      <c r="Z63" s="121"/>
      <c r="AA63" s="121"/>
      <c r="AB63" s="122"/>
      <c r="AC63" s="121"/>
      <c r="AD63" s="12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</row>
    <row r="64" spans="1:164" s="113" customFormat="1" ht="18.75" customHeight="1" thickBot="1">
      <c r="A64" s="123"/>
      <c r="B64" s="124"/>
      <c r="C64" s="125"/>
      <c r="D64" s="135"/>
      <c r="E64" s="136"/>
      <c r="F64" s="208">
        <v>1</v>
      </c>
      <c r="G64" s="128">
        <f>SUM(G58:G63)</f>
        <v>366299</v>
      </c>
      <c r="H64" s="224">
        <f>I64/$G64</f>
        <v>0</v>
      </c>
      <c r="I64" s="129">
        <f>SUM(I63)</f>
        <v>0</v>
      </c>
      <c r="J64" s="232">
        <f>K64/$G64</f>
        <v>0</v>
      </c>
      <c r="K64" s="129">
        <f>SUM(K59:K63)</f>
        <v>0</v>
      </c>
      <c r="L64" s="232">
        <f>M64/$G64</f>
        <v>0.4869000461371721</v>
      </c>
      <c r="M64" s="129">
        <f>SUM(M59:M63)</f>
        <v>178351</v>
      </c>
      <c r="N64" s="224"/>
      <c r="O64" s="129"/>
      <c r="P64" s="232">
        <f>Q64/$G64</f>
        <v>0.5130999538628279</v>
      </c>
      <c r="Q64" s="130">
        <f>SUM(Q59:Q63)</f>
        <v>187948</v>
      </c>
      <c r="R64" s="235"/>
      <c r="S64" s="130">
        <f>SUM(S63)</f>
        <v>0</v>
      </c>
      <c r="T64" s="206"/>
      <c r="U64" s="95">
        <f>SUM(U58:U63)</f>
        <v>107355</v>
      </c>
      <c r="V64" s="122"/>
      <c r="W64" s="121"/>
      <c r="X64" s="121"/>
      <c r="Y64" s="122"/>
      <c r="Z64" s="121"/>
      <c r="AA64" s="121"/>
      <c r="AB64" s="122"/>
      <c r="AC64" s="121"/>
      <c r="AD64" s="12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</row>
    <row r="65" spans="1:164" s="113" customFormat="1" ht="17.25" customHeight="1">
      <c r="A65" s="20">
        <v>8</v>
      </c>
      <c r="B65" s="16" t="s">
        <v>67</v>
      </c>
      <c r="C65" s="10"/>
      <c r="D65" s="21"/>
      <c r="E65" s="22"/>
      <c r="F65" s="210"/>
      <c r="G65" s="104"/>
      <c r="H65" s="223"/>
      <c r="I65" s="119"/>
      <c r="J65" s="223"/>
      <c r="K65" s="119"/>
      <c r="L65" s="223"/>
      <c r="M65" s="119"/>
      <c r="N65" s="223"/>
      <c r="O65" s="119"/>
      <c r="P65" s="223"/>
      <c r="Q65" s="119"/>
      <c r="R65" s="223"/>
      <c r="S65" s="119"/>
      <c r="T65" s="102"/>
      <c r="U65" s="103">
        <f aca="true" t="shared" si="20" ref="U65:U71">IF(P65&lt;0.51,IF(R65&lt;0.51,+Q65+S65,+Q65),IF(R65&lt;0.51,S65,0))</f>
        <v>0</v>
      </c>
      <c r="V65" s="122"/>
      <c r="W65" s="121"/>
      <c r="X65" s="121"/>
      <c r="Y65" s="122"/>
      <c r="Z65" s="121"/>
      <c r="AA65" s="121"/>
      <c r="AB65" s="122"/>
      <c r="AC65" s="121"/>
      <c r="AD65" s="12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</row>
    <row r="66" spans="1:164" s="113" customFormat="1" ht="17.25" customHeight="1">
      <c r="A66" s="20"/>
      <c r="B66" s="11" t="s">
        <v>68</v>
      </c>
      <c r="C66" s="10" t="s">
        <v>0</v>
      </c>
      <c r="D66" s="21">
        <v>1</v>
      </c>
      <c r="E66" s="22">
        <v>45486</v>
      </c>
      <c r="F66" s="207">
        <v>1</v>
      </c>
      <c r="G66" s="104">
        <f aca="true" t="shared" si="21" ref="G66:G71">D66*E66</f>
        <v>45486</v>
      </c>
      <c r="H66" s="223"/>
      <c r="I66" s="120">
        <f>IF(H66=0,0,SUM($G66*H66))</f>
        <v>0</v>
      </c>
      <c r="J66" s="223"/>
      <c r="K66" s="120"/>
      <c r="L66" s="223">
        <v>0.66</v>
      </c>
      <c r="M66" s="120">
        <f aca="true" t="shared" si="22" ref="M66:M71">IF(L66=0,0,SUM($G66*L66))</f>
        <v>30020.760000000002</v>
      </c>
      <c r="N66" s="223">
        <v>0</v>
      </c>
      <c r="O66" s="120">
        <f>IF(N66=0,0,SUM($G66*N66))</f>
        <v>0</v>
      </c>
      <c r="P66" s="223">
        <v>0.34</v>
      </c>
      <c r="Q66" s="120">
        <f aca="true" t="shared" si="23" ref="Q66:Q71">IF(P66=0,0,SUM($G66*P66))</f>
        <v>15465.240000000002</v>
      </c>
      <c r="R66" s="223"/>
      <c r="S66" s="120">
        <f>IF(R66=0,0,SUM($G66*R66))</f>
        <v>0</v>
      </c>
      <c r="T66" s="102"/>
      <c r="U66" s="103">
        <f t="shared" si="20"/>
        <v>15465.240000000002</v>
      </c>
      <c r="V66" s="255">
        <f>SUM(I66:Q66)</f>
        <v>45487</v>
      </c>
      <c r="W66" s="121">
        <f>V66-G66</f>
        <v>1</v>
      </c>
      <c r="X66" s="121"/>
      <c r="Y66" s="122"/>
      <c r="Z66" s="121"/>
      <c r="AA66" s="121"/>
      <c r="AB66" s="122"/>
      <c r="AC66" s="121"/>
      <c r="AD66" s="12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</row>
    <row r="67" spans="1:164" s="113" customFormat="1" ht="17.25" customHeight="1">
      <c r="A67" s="20"/>
      <c r="B67" s="11" t="s">
        <v>70</v>
      </c>
      <c r="C67" s="10" t="s">
        <v>61</v>
      </c>
      <c r="D67" s="21">
        <v>1</v>
      </c>
      <c r="E67" s="22">
        <f>129375+6250</f>
        <v>135625</v>
      </c>
      <c r="F67" s="207">
        <v>1</v>
      </c>
      <c r="G67" s="104">
        <f t="shared" si="21"/>
        <v>135625</v>
      </c>
      <c r="H67" s="223"/>
      <c r="I67" s="120">
        <f>IF(H67=0,0,SUM($G67*H67))</f>
        <v>0</v>
      </c>
      <c r="J67" s="223"/>
      <c r="K67" s="120"/>
      <c r="L67" s="223">
        <v>0.66</v>
      </c>
      <c r="M67" s="120">
        <f t="shared" si="22"/>
        <v>89512.5</v>
      </c>
      <c r="N67" s="223">
        <v>0</v>
      </c>
      <c r="O67" s="120">
        <f>IF(N67=0,0,SUM($G67*N67))</f>
        <v>0</v>
      </c>
      <c r="P67" s="223">
        <v>0.34</v>
      </c>
      <c r="Q67" s="120">
        <f t="shared" si="23"/>
        <v>46112.5</v>
      </c>
      <c r="R67" s="223"/>
      <c r="S67" s="120">
        <f>IF(R67=0,0,SUM($G67*R67))</f>
        <v>0</v>
      </c>
      <c r="T67" s="102"/>
      <c r="U67" s="103">
        <f t="shared" si="20"/>
        <v>46112.5</v>
      </c>
      <c r="V67" s="255">
        <f>SUM(I67:Q67)</f>
        <v>135626</v>
      </c>
      <c r="W67" s="121">
        <f>V67-G67</f>
        <v>1</v>
      </c>
      <c r="X67" s="121"/>
      <c r="Y67" s="122"/>
      <c r="Z67" s="121"/>
      <c r="AA67" s="121"/>
      <c r="AB67" s="122"/>
      <c r="AC67" s="121"/>
      <c r="AD67" s="12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</row>
    <row r="68" spans="1:164" s="113" customFormat="1" ht="17.25" customHeight="1">
      <c r="A68" s="20"/>
      <c r="B68" s="11" t="s">
        <v>119</v>
      </c>
      <c r="C68" s="10" t="s">
        <v>0</v>
      </c>
      <c r="D68" s="21">
        <v>1</v>
      </c>
      <c r="E68" s="22">
        <v>86875</v>
      </c>
      <c r="F68" s="207">
        <v>1</v>
      </c>
      <c r="G68" s="104">
        <f t="shared" si="21"/>
        <v>86875</v>
      </c>
      <c r="H68" s="223"/>
      <c r="I68" s="120"/>
      <c r="J68" s="223"/>
      <c r="K68" s="120"/>
      <c r="L68" s="223">
        <v>0.66</v>
      </c>
      <c r="M68" s="120">
        <f t="shared" si="22"/>
        <v>57337.5</v>
      </c>
      <c r="N68" s="223"/>
      <c r="O68" s="120"/>
      <c r="P68" s="223">
        <v>0.34</v>
      </c>
      <c r="Q68" s="120">
        <f t="shared" si="23"/>
        <v>29537.500000000004</v>
      </c>
      <c r="R68" s="223"/>
      <c r="S68" s="120"/>
      <c r="T68" s="102"/>
      <c r="U68" s="103">
        <f t="shared" si="20"/>
        <v>29537.500000000004</v>
      </c>
      <c r="V68" s="255"/>
      <c r="W68" s="121"/>
      <c r="X68" s="121"/>
      <c r="Y68" s="122"/>
      <c r="Z68" s="121"/>
      <c r="AA68" s="121"/>
      <c r="AB68" s="122"/>
      <c r="AC68" s="121"/>
      <c r="AD68" s="12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1"/>
      <c r="FH68" s="111"/>
    </row>
    <row r="69" spans="1:164" s="113" customFormat="1" ht="17.25" customHeight="1">
      <c r="A69" s="20"/>
      <c r="B69" s="11" t="s">
        <v>120</v>
      </c>
      <c r="C69" s="10" t="s">
        <v>0</v>
      </c>
      <c r="D69" s="21">
        <v>3</v>
      </c>
      <c r="E69" s="22">
        <v>4625</v>
      </c>
      <c r="F69" s="207">
        <v>1</v>
      </c>
      <c r="G69" s="104">
        <f t="shared" si="21"/>
        <v>13875</v>
      </c>
      <c r="H69" s="223"/>
      <c r="I69" s="120"/>
      <c r="J69" s="223"/>
      <c r="K69" s="120"/>
      <c r="L69" s="223"/>
      <c r="M69" s="120">
        <f t="shared" si="22"/>
        <v>0</v>
      </c>
      <c r="N69" s="223"/>
      <c r="O69" s="120"/>
      <c r="P69" s="223">
        <v>1</v>
      </c>
      <c r="Q69" s="120">
        <f t="shared" si="23"/>
        <v>13875</v>
      </c>
      <c r="R69" s="223"/>
      <c r="S69" s="120"/>
      <c r="T69" s="102"/>
      <c r="U69" s="103">
        <f t="shared" si="20"/>
        <v>0</v>
      </c>
      <c r="V69" s="255"/>
      <c r="W69" s="121"/>
      <c r="X69" s="121"/>
      <c r="Y69" s="122"/>
      <c r="Z69" s="121"/>
      <c r="AA69" s="121"/>
      <c r="AB69" s="122"/>
      <c r="AC69" s="121"/>
      <c r="AD69" s="12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</row>
    <row r="70" spans="1:164" s="113" customFormat="1" ht="17.25" customHeight="1">
      <c r="A70" s="20"/>
      <c r="B70" s="11" t="s">
        <v>121</v>
      </c>
      <c r="C70" s="10" t="s">
        <v>0</v>
      </c>
      <c r="D70" s="21">
        <v>1</v>
      </c>
      <c r="E70" s="22">
        <v>3600</v>
      </c>
      <c r="F70" s="207">
        <v>1</v>
      </c>
      <c r="G70" s="104">
        <f t="shared" si="21"/>
        <v>3600</v>
      </c>
      <c r="H70" s="223"/>
      <c r="I70" s="120"/>
      <c r="J70" s="223"/>
      <c r="K70" s="120"/>
      <c r="L70" s="223"/>
      <c r="M70" s="120">
        <f t="shared" si="22"/>
        <v>0</v>
      </c>
      <c r="N70" s="223"/>
      <c r="O70" s="120"/>
      <c r="P70" s="223">
        <v>1</v>
      </c>
      <c r="Q70" s="120">
        <f t="shared" si="23"/>
        <v>3600</v>
      </c>
      <c r="R70" s="223"/>
      <c r="S70" s="120"/>
      <c r="T70" s="102"/>
      <c r="U70" s="103">
        <f t="shared" si="20"/>
        <v>0</v>
      </c>
      <c r="V70" s="255"/>
      <c r="W70" s="121"/>
      <c r="X70" s="121"/>
      <c r="Y70" s="122"/>
      <c r="Z70" s="121"/>
      <c r="AA70" s="121"/>
      <c r="AB70" s="122"/>
      <c r="AC70" s="121"/>
      <c r="AD70" s="12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</row>
    <row r="71" spans="1:164" s="113" customFormat="1" ht="15.75" customHeight="1" thickBot="1">
      <c r="A71" s="20"/>
      <c r="B71" s="11" t="s">
        <v>122</v>
      </c>
      <c r="C71" s="10" t="s">
        <v>0</v>
      </c>
      <c r="D71" s="21">
        <v>1</v>
      </c>
      <c r="E71" s="272">
        <v>20607.5</v>
      </c>
      <c r="F71" s="207">
        <v>2</v>
      </c>
      <c r="G71" s="104">
        <f t="shared" si="21"/>
        <v>20607.5</v>
      </c>
      <c r="H71" s="223"/>
      <c r="I71" s="120"/>
      <c r="J71" s="223"/>
      <c r="K71" s="120"/>
      <c r="L71" s="223">
        <v>0.66</v>
      </c>
      <c r="M71" s="120">
        <f t="shared" si="22"/>
        <v>13600.95</v>
      </c>
      <c r="N71" s="223"/>
      <c r="O71" s="120"/>
      <c r="P71" s="223">
        <v>0.34</v>
      </c>
      <c r="Q71" s="120">
        <f t="shared" si="23"/>
        <v>7006.55</v>
      </c>
      <c r="R71" s="223"/>
      <c r="S71" s="120">
        <f>IF(R71=0,0,SUM($G71*R71))</f>
        <v>0</v>
      </c>
      <c r="T71" s="102"/>
      <c r="U71" s="103">
        <f t="shared" si="20"/>
        <v>7006.55</v>
      </c>
      <c r="V71" s="122"/>
      <c r="W71" s="121"/>
      <c r="X71" s="121"/>
      <c r="Y71" s="122"/>
      <c r="Z71" s="121"/>
      <c r="AA71" s="121"/>
      <c r="AB71" s="122"/>
      <c r="AC71" s="121"/>
      <c r="AD71" s="12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</row>
    <row r="72" spans="1:164" s="113" customFormat="1" ht="18.75" customHeight="1" thickBot="1">
      <c r="A72" s="123"/>
      <c r="B72" s="124"/>
      <c r="C72" s="125"/>
      <c r="D72" s="135"/>
      <c r="E72" s="136"/>
      <c r="F72" s="208">
        <v>1</v>
      </c>
      <c r="G72" s="128">
        <f>SUM(G65:G71)</f>
        <v>306068.5</v>
      </c>
      <c r="H72" s="224">
        <f>I72/$G72</f>
        <v>0</v>
      </c>
      <c r="I72" s="129"/>
      <c r="J72" s="224"/>
      <c r="K72" s="129"/>
      <c r="L72" s="232">
        <f>M72/$G72</f>
        <v>0.6223172590449524</v>
      </c>
      <c r="M72" s="129">
        <f>SUM(M65:M71)</f>
        <v>190471.71000000002</v>
      </c>
      <c r="N72" s="232">
        <f>O72/$G72</f>
        <v>0</v>
      </c>
      <c r="O72" s="129">
        <f>SUM(O54:O71)</f>
        <v>0</v>
      </c>
      <c r="P72" s="232">
        <f>Q72/$G72</f>
        <v>0.37768274095504767</v>
      </c>
      <c r="Q72" s="130">
        <f>SUM(Q65:Q71)</f>
        <v>115596.79000000001</v>
      </c>
      <c r="R72" s="235">
        <f>S72/$G72</f>
        <v>0</v>
      </c>
      <c r="S72" s="130">
        <f>SUM(S71:S71)</f>
        <v>0</v>
      </c>
      <c r="T72" s="206"/>
      <c r="U72" s="95">
        <f>SUM(U65:U71)</f>
        <v>98121.79000000001</v>
      </c>
      <c r="V72" s="122"/>
      <c r="W72" s="121"/>
      <c r="X72" s="121"/>
      <c r="Y72" s="122"/>
      <c r="Z72" s="121"/>
      <c r="AA72" s="121"/>
      <c r="AB72" s="122"/>
      <c r="AC72" s="121"/>
      <c r="AD72" s="12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</row>
    <row r="73" spans="1:164" s="113" customFormat="1" ht="9" customHeight="1">
      <c r="A73" s="10"/>
      <c r="B73" s="11"/>
      <c r="C73" s="23"/>
      <c r="D73" s="32"/>
      <c r="E73" s="137"/>
      <c r="F73" s="213"/>
      <c r="G73" s="131"/>
      <c r="H73" s="249"/>
      <c r="I73" s="250"/>
      <c r="J73" s="249"/>
      <c r="K73" s="250"/>
      <c r="L73" s="249"/>
      <c r="M73" s="250"/>
      <c r="N73" s="249"/>
      <c r="O73" s="250"/>
      <c r="P73" s="249"/>
      <c r="Q73" s="250"/>
      <c r="R73" s="249"/>
      <c r="S73" s="251"/>
      <c r="T73" s="252"/>
      <c r="U73" s="253"/>
      <c r="V73" s="254"/>
      <c r="W73" s="255"/>
      <c r="X73" s="121"/>
      <c r="Y73" s="122"/>
      <c r="Z73" s="121"/>
      <c r="AA73" s="121"/>
      <c r="AB73" s="122"/>
      <c r="AC73" s="121"/>
      <c r="AD73" s="12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</row>
    <row r="74" spans="1:164" s="113" customFormat="1" ht="15.75" customHeight="1">
      <c r="A74" s="10"/>
      <c r="B74" s="11" t="s">
        <v>157</v>
      </c>
      <c r="C74" s="23"/>
      <c r="D74" s="32"/>
      <c r="E74" s="35"/>
      <c r="F74" s="211"/>
      <c r="G74" s="131">
        <f>SUM(G16+G20+G28+G33+G39+G57+G64+G72)</f>
        <v>3708655.3</v>
      </c>
      <c r="H74" s="249"/>
      <c r="I74" s="258">
        <f>SUM(I8:I72)/2</f>
        <v>0</v>
      </c>
      <c r="J74" s="249"/>
      <c r="K74" s="258">
        <f>SUM(K8:K72)/2</f>
        <v>0</v>
      </c>
      <c r="L74" s="249"/>
      <c r="M74" s="103">
        <f>SUM(M8:M72)/2</f>
        <v>2063933.2480000001</v>
      </c>
      <c r="N74" s="249"/>
      <c r="O74" s="258">
        <f>SUM(O8:O72)/2</f>
        <v>0</v>
      </c>
      <c r="P74" s="249"/>
      <c r="Q74" s="103">
        <f>SUM(Q8:Q72)/2</f>
        <v>1644722.0520000001</v>
      </c>
      <c r="R74" s="249"/>
      <c r="S74" s="258">
        <f>SUM(S8:S39)/2</f>
        <v>0</v>
      </c>
      <c r="T74" s="257"/>
      <c r="U74" s="103">
        <f>SUM(U8:U72)/2</f>
        <v>1078715.5520000001</v>
      </c>
      <c r="V74" s="255">
        <f>SUM(I74:Q74)</f>
        <v>3708655.3000000003</v>
      </c>
      <c r="W74" s="255"/>
      <c r="X74" s="121"/>
      <c r="Y74" s="122"/>
      <c r="Z74" s="121"/>
      <c r="AA74" s="121"/>
      <c r="AB74" s="122"/>
      <c r="AC74" s="121"/>
      <c r="AD74" s="12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111"/>
    </row>
    <row r="75" spans="1:164" s="113" customFormat="1" ht="15.75" customHeight="1">
      <c r="A75" s="10"/>
      <c r="B75" s="11" t="s">
        <v>162</v>
      </c>
      <c r="C75" s="281">
        <f>G75/G74</f>
        <v>0.0018739945985273962</v>
      </c>
      <c r="D75" s="32"/>
      <c r="E75" s="35"/>
      <c r="F75" s="211"/>
      <c r="G75" s="131">
        <f>3948.75+2920+81.25</f>
        <v>6950</v>
      </c>
      <c r="H75" s="249"/>
      <c r="I75" s="258"/>
      <c r="J75" s="249"/>
      <c r="K75" s="258"/>
      <c r="L75" s="249"/>
      <c r="M75" s="258">
        <f>M74*C75</f>
        <v>3867.799758473105</v>
      </c>
      <c r="N75" s="249"/>
      <c r="O75" s="258"/>
      <c r="P75" s="249"/>
      <c r="Q75" s="258">
        <f>Q74*C75</f>
        <v>3082.2002415268953</v>
      </c>
      <c r="R75" s="249"/>
      <c r="S75" s="258"/>
      <c r="T75" s="257"/>
      <c r="U75" s="258">
        <f>U74*C75</f>
        <v>2021.5071177954987</v>
      </c>
      <c r="V75" s="255"/>
      <c r="W75" s="255"/>
      <c r="X75" s="121"/>
      <c r="Y75" s="122"/>
      <c r="Z75" s="121"/>
      <c r="AA75" s="121"/>
      <c r="AB75" s="122"/>
      <c r="AC75" s="121"/>
      <c r="AD75" s="12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1"/>
      <c r="FF75" s="111"/>
      <c r="FG75" s="111"/>
      <c r="FH75" s="111"/>
    </row>
    <row r="76" spans="1:164" s="134" customFormat="1" ht="15.75" customHeight="1">
      <c r="A76" s="37"/>
      <c r="B76" s="16" t="s">
        <v>159</v>
      </c>
      <c r="C76" s="17"/>
      <c r="E76" s="282"/>
      <c r="F76" s="277"/>
      <c r="G76" s="131">
        <f>SUM(G74:G75)</f>
        <v>3715605.3</v>
      </c>
      <c r="H76" s="259"/>
      <c r="I76" s="131">
        <f>SUM(I74:I75)</f>
        <v>0</v>
      </c>
      <c r="J76" s="259"/>
      <c r="K76" s="131">
        <f>SUM(K74:K75)</f>
        <v>0</v>
      </c>
      <c r="L76" s="259"/>
      <c r="M76" s="131">
        <f>SUM(M74:M75)</f>
        <v>2067801.0477584733</v>
      </c>
      <c r="N76" s="259"/>
      <c r="O76" s="131">
        <f>SUM(O74:O75)</f>
        <v>0</v>
      </c>
      <c r="P76" s="259"/>
      <c r="Q76" s="131">
        <f>SUM(Q74:Q75)</f>
        <v>1647804.252241527</v>
      </c>
      <c r="R76" s="259"/>
      <c r="S76" s="251">
        <f>SUM(S74:S75)</f>
        <v>0</v>
      </c>
      <c r="T76" s="260"/>
      <c r="U76" s="131">
        <f>SUM(U74:U75)</f>
        <v>1080737.0591177957</v>
      </c>
      <c r="V76" s="255">
        <f aca="true" t="shared" si="24" ref="V76:V84">SUM(I76:Q76)</f>
        <v>3715605.3000000003</v>
      </c>
      <c r="W76" s="255"/>
      <c r="X76" s="132"/>
      <c r="Y76" s="133"/>
      <c r="Z76" s="132"/>
      <c r="AA76" s="132"/>
      <c r="AB76" s="133"/>
      <c r="AC76" s="132"/>
      <c r="AD76" s="13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</row>
    <row r="77" spans="1:164" s="113" customFormat="1" ht="15.75" customHeight="1">
      <c r="A77" s="10"/>
      <c r="B77" s="11" t="s">
        <v>155</v>
      </c>
      <c r="C77" s="23"/>
      <c r="E77" s="283"/>
      <c r="F77" s="211"/>
      <c r="G77" s="104">
        <f>SUM(D77:F77)</f>
        <v>0</v>
      </c>
      <c r="H77" s="261"/>
      <c r="I77" s="256"/>
      <c r="J77" s="261"/>
      <c r="K77" s="256"/>
      <c r="L77" s="261"/>
      <c r="M77" s="256"/>
      <c r="N77" s="261"/>
      <c r="O77" s="256"/>
      <c r="P77" s="261"/>
      <c r="Q77" s="256"/>
      <c r="R77" s="261"/>
      <c r="S77" s="256"/>
      <c r="T77" s="257"/>
      <c r="U77" s="258"/>
      <c r="V77" s="255">
        <f t="shared" si="24"/>
        <v>0</v>
      </c>
      <c r="W77" s="255"/>
      <c r="X77" s="121"/>
      <c r="Y77" s="122"/>
      <c r="Z77" s="121"/>
      <c r="AA77" s="121"/>
      <c r="AB77" s="122"/>
      <c r="AC77" s="121"/>
      <c r="AD77" s="12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</row>
    <row r="78" spans="1:164" s="113" customFormat="1" ht="15.75" customHeight="1">
      <c r="A78" s="10"/>
      <c r="B78" s="11" t="s">
        <v>168</v>
      </c>
      <c r="C78" s="36">
        <f>G78/G76</f>
        <v>0.16493459625542034</v>
      </c>
      <c r="D78" s="32"/>
      <c r="E78" s="35"/>
      <c r="F78" s="211"/>
      <c r="G78" s="104">
        <f>'Spec.udg.til skema C'!D27</f>
        <v>612831.86</v>
      </c>
      <c r="H78" s="223"/>
      <c r="I78" s="120">
        <f>I76*$C78</f>
        <v>0</v>
      </c>
      <c r="J78" s="223"/>
      <c r="K78" s="120">
        <f>K76*$C78</f>
        <v>0</v>
      </c>
      <c r="L78" s="223"/>
      <c r="M78" s="120">
        <f>M76*$C78</f>
        <v>341051.9309485789</v>
      </c>
      <c r="N78" s="223"/>
      <c r="O78" s="120">
        <f>O76*$C78</f>
        <v>0</v>
      </c>
      <c r="P78" s="223"/>
      <c r="Q78" s="120">
        <f>Q76*$C78</f>
        <v>271779.92905142106</v>
      </c>
      <c r="R78" s="102"/>
      <c r="S78" s="103">
        <f>S76*$C78</f>
        <v>0</v>
      </c>
      <c r="T78" s="102"/>
      <c r="U78" s="103">
        <f>U76*$C78</f>
        <v>178250.93050386396</v>
      </c>
      <c r="V78" s="255">
        <f t="shared" si="24"/>
        <v>612831.86</v>
      </c>
      <c r="W78" s="255"/>
      <c r="X78" s="121"/>
      <c r="Y78" s="122"/>
      <c r="Z78" s="121"/>
      <c r="AA78" s="121"/>
      <c r="AB78" s="122"/>
      <c r="AC78" s="121"/>
      <c r="AD78" s="12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</row>
    <row r="79" spans="1:164" s="113" customFormat="1" ht="16.5" customHeight="1">
      <c r="A79" s="10"/>
      <c r="B79" s="278"/>
      <c r="C79" s="36"/>
      <c r="D79" s="32"/>
      <c r="E79" s="35"/>
      <c r="F79" s="211"/>
      <c r="G79" s="104"/>
      <c r="H79" s="223"/>
      <c r="I79" s="120">
        <f>I76*$C79</f>
        <v>0</v>
      </c>
      <c r="J79" s="223"/>
      <c r="K79" s="120">
        <f>K76*$C79</f>
        <v>0</v>
      </c>
      <c r="L79" s="223"/>
      <c r="M79" s="120">
        <v>-6728</v>
      </c>
      <c r="N79" s="223"/>
      <c r="O79" s="120">
        <f>O76*$C79</f>
        <v>0</v>
      </c>
      <c r="P79" s="223"/>
      <c r="Q79" s="120">
        <v>6728</v>
      </c>
      <c r="R79" s="102"/>
      <c r="S79" s="103">
        <f>S76*$C79</f>
        <v>0</v>
      </c>
      <c r="T79" s="102"/>
      <c r="U79" s="103">
        <f>U76*$C79</f>
        <v>0</v>
      </c>
      <c r="V79" s="255">
        <f t="shared" si="24"/>
        <v>0</v>
      </c>
      <c r="W79" s="255"/>
      <c r="X79" s="121"/>
      <c r="Y79" s="122"/>
      <c r="Z79" s="121"/>
      <c r="AA79" s="121"/>
      <c r="AB79" s="122"/>
      <c r="AC79" s="121"/>
      <c r="AD79" s="12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</row>
    <row r="80" spans="1:164" s="113" customFormat="1" ht="15.75" customHeight="1">
      <c r="A80" s="10"/>
      <c r="B80" s="279"/>
      <c r="C80" s="36"/>
      <c r="D80" s="275" t="s">
        <v>160</v>
      </c>
      <c r="E80" s="276" t="s">
        <v>161</v>
      </c>
      <c r="F80" s="211"/>
      <c r="G80" s="104"/>
      <c r="H80" s="223"/>
      <c r="I80" s="120">
        <f>I76*$C80</f>
        <v>0</v>
      </c>
      <c r="J80" s="223"/>
      <c r="K80" s="120">
        <f>K76*$C80</f>
        <v>0</v>
      </c>
      <c r="L80" s="223"/>
      <c r="M80" s="120">
        <v>-5760</v>
      </c>
      <c r="N80" s="223"/>
      <c r="O80" s="120">
        <f>O76*$C80</f>
        <v>0</v>
      </c>
      <c r="P80" s="223"/>
      <c r="Q80" s="120">
        <f>Q76*$C80</f>
        <v>0</v>
      </c>
      <c r="R80" s="102"/>
      <c r="S80" s="103">
        <f>S76*$C80</f>
        <v>0</v>
      </c>
      <c r="T80" s="102"/>
      <c r="U80" s="103">
        <f>U76*$C80</f>
        <v>0</v>
      </c>
      <c r="V80" s="255">
        <f t="shared" si="24"/>
        <v>-5760</v>
      </c>
      <c r="W80" s="255"/>
      <c r="X80" s="121"/>
      <c r="Y80" s="122"/>
      <c r="Z80" s="121"/>
      <c r="AA80" s="121"/>
      <c r="AB80" s="122"/>
      <c r="AC80" s="121"/>
      <c r="AD80" s="12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</row>
    <row r="81" spans="1:164" s="113" customFormat="1" ht="15.75" customHeight="1">
      <c r="A81" s="10"/>
      <c r="B81" s="11" t="s">
        <v>155</v>
      </c>
      <c r="C81" s="23"/>
      <c r="D81" s="32">
        <f>'Spec.udg.til skema C'!O36+'Spec.udg.til skema C'!I35</f>
        <v>46850</v>
      </c>
      <c r="E81" s="35">
        <f>'Spec.udg.til skema C'!O25+'Spec.udg.til skema C'!O26</f>
        <v>63820</v>
      </c>
      <c r="F81" s="211"/>
      <c r="G81" s="104">
        <f>SUM(D81:F81)</f>
        <v>110670</v>
      </c>
      <c r="H81" s="261"/>
      <c r="I81" s="256"/>
      <c r="J81" s="261"/>
      <c r="K81" s="256"/>
      <c r="L81" s="261"/>
      <c r="M81" s="256">
        <f>E81+D81</f>
        <v>110670</v>
      </c>
      <c r="N81" s="261"/>
      <c r="O81" s="256"/>
      <c r="P81" s="261"/>
      <c r="Q81" s="256">
        <v>5760</v>
      </c>
      <c r="R81" s="261"/>
      <c r="S81" s="256"/>
      <c r="T81" s="257"/>
      <c r="U81" s="258"/>
      <c r="V81" s="255">
        <f t="shared" si="24"/>
        <v>116430</v>
      </c>
      <c r="W81" s="255"/>
      <c r="X81" s="121"/>
      <c r="Y81" s="122"/>
      <c r="Z81" s="121"/>
      <c r="AA81" s="121"/>
      <c r="AB81" s="122"/>
      <c r="AC81" s="121"/>
      <c r="AD81" s="12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111"/>
    </row>
    <row r="82" spans="1:164" s="113" customFormat="1" ht="15.75" customHeight="1" thickBot="1">
      <c r="A82" s="10"/>
      <c r="B82" s="11" t="s">
        <v>123</v>
      </c>
      <c r="C82" s="23"/>
      <c r="D82" s="32"/>
      <c r="E82" s="35"/>
      <c r="F82" s="207"/>
      <c r="G82" s="104">
        <f>'Spec.udg.til skema C'!O29+'Spec.udg.til skema C'!O30</f>
        <v>222012.53999999998</v>
      </c>
      <c r="H82" s="223"/>
      <c r="I82" s="120"/>
      <c r="J82" s="223"/>
      <c r="K82" s="120"/>
      <c r="L82" s="223"/>
      <c r="M82" s="120">
        <f>+G82</f>
        <v>222012.53999999998</v>
      </c>
      <c r="N82" s="223"/>
      <c r="O82" s="120"/>
      <c r="P82" s="223"/>
      <c r="Q82" s="120"/>
      <c r="R82" s="223"/>
      <c r="S82" s="120">
        <f>IF(R82=0,0,SUM($G82*R82))</f>
        <v>0</v>
      </c>
      <c r="T82" s="102"/>
      <c r="U82" s="103">
        <f>IF(T82=0,0,SUM($G82*T82))</f>
        <v>0</v>
      </c>
      <c r="V82" s="255">
        <f t="shared" si="24"/>
        <v>222012.53999999998</v>
      </c>
      <c r="W82" s="255"/>
      <c r="X82" s="121"/>
      <c r="Y82" s="122"/>
      <c r="Z82" s="121"/>
      <c r="AA82" s="121"/>
      <c r="AB82" s="122"/>
      <c r="AC82" s="121"/>
      <c r="AD82" s="12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111"/>
    </row>
    <row r="83" spans="1:164" s="113" customFormat="1" ht="15" customHeight="1">
      <c r="A83" s="34"/>
      <c r="B83" s="38"/>
      <c r="C83" s="39"/>
      <c r="D83" s="40"/>
      <c r="E83" s="41"/>
      <c r="F83" s="212"/>
      <c r="G83" s="138"/>
      <c r="H83" s="227"/>
      <c r="I83" s="139"/>
      <c r="J83" s="227"/>
      <c r="K83" s="139"/>
      <c r="L83" s="227"/>
      <c r="M83" s="139"/>
      <c r="N83" s="227"/>
      <c r="O83" s="139"/>
      <c r="P83" s="236"/>
      <c r="Q83" s="140"/>
      <c r="R83" s="236"/>
      <c r="S83" s="140"/>
      <c r="T83" s="197"/>
      <c r="U83" s="183"/>
      <c r="V83" s="255">
        <f t="shared" si="24"/>
        <v>0</v>
      </c>
      <c r="W83" s="255"/>
      <c r="X83" s="121"/>
      <c r="Y83" s="122"/>
      <c r="Z83" s="121"/>
      <c r="AA83" s="121"/>
      <c r="AB83" s="122"/>
      <c r="AC83" s="121"/>
      <c r="AD83" s="12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</row>
    <row r="84" spans="1:164" s="113" customFormat="1" ht="24" customHeight="1">
      <c r="A84" s="17"/>
      <c r="B84" s="16" t="s">
        <v>5</v>
      </c>
      <c r="C84" s="23"/>
      <c r="D84" s="32"/>
      <c r="E84" s="35"/>
      <c r="F84" s="213">
        <v>1</v>
      </c>
      <c r="G84" s="131">
        <f>SUM(G76:G82)</f>
        <v>4661119.7</v>
      </c>
      <c r="H84" s="228">
        <f>I84/$G84</f>
        <v>0</v>
      </c>
      <c r="I84" s="141">
        <f>SUM(I76:I82)</f>
        <v>0</v>
      </c>
      <c r="J84" s="228">
        <f>K84/$G84</f>
        <v>0</v>
      </c>
      <c r="K84" s="141">
        <f>SUM(K76:K82)</f>
        <v>0</v>
      </c>
      <c r="L84" s="228">
        <f>M84/$G84</f>
        <v>0.5854918333693624</v>
      </c>
      <c r="M84" s="141">
        <f>SUM(M76:M82)</f>
        <v>2729047.5187070523</v>
      </c>
      <c r="N84" s="228">
        <f>O84/$G84</f>
        <v>0</v>
      </c>
      <c r="O84" s="141">
        <f>SUM(O76:O82)</f>
        <v>0</v>
      </c>
      <c r="P84" s="237">
        <f>Q84/$G84</f>
        <v>0.4145081666306377</v>
      </c>
      <c r="Q84" s="143">
        <f>SUM(Q76:Q82)</f>
        <v>1932072.181292948</v>
      </c>
      <c r="R84" s="237">
        <f>S84/$G84</f>
        <v>0</v>
      </c>
      <c r="S84" s="143">
        <f>SUM(S76:S82)</f>
        <v>0</v>
      </c>
      <c r="T84" s="97"/>
      <c r="U84" s="98">
        <f>SUM(U76:U82)</f>
        <v>1258987.9896216597</v>
      </c>
      <c r="V84" s="255">
        <f t="shared" si="24"/>
        <v>4661120.7</v>
      </c>
      <c r="W84" s="255"/>
      <c r="X84" s="121"/>
      <c r="Y84" s="122"/>
      <c r="Z84" s="121"/>
      <c r="AA84" s="121"/>
      <c r="AB84" s="122"/>
      <c r="AC84" s="121"/>
      <c r="AD84" s="12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</row>
    <row r="85" spans="1:164" s="113" customFormat="1" ht="15" customHeight="1" thickBot="1">
      <c r="A85" s="12"/>
      <c r="B85" s="42"/>
      <c r="C85" s="43"/>
      <c r="D85" s="44"/>
      <c r="E85" s="45"/>
      <c r="F85" s="214"/>
      <c r="G85" s="144"/>
      <c r="H85" s="229"/>
      <c r="I85" s="145"/>
      <c r="J85" s="229"/>
      <c r="K85" s="145"/>
      <c r="L85" s="229"/>
      <c r="M85" s="145"/>
      <c r="N85" s="229"/>
      <c r="O85" s="145"/>
      <c r="P85" s="238"/>
      <c r="Q85" s="146"/>
      <c r="R85" s="238"/>
      <c r="S85" s="146"/>
      <c r="T85" s="198"/>
      <c r="U85" s="184"/>
      <c r="V85" s="122"/>
      <c r="W85" s="121"/>
      <c r="X85" s="121"/>
      <c r="Y85" s="122"/>
      <c r="Z85" s="121"/>
      <c r="AA85" s="121"/>
      <c r="AB85" s="122"/>
      <c r="AC85" s="121"/>
      <c r="AD85" s="12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</row>
    <row r="86" spans="1:164" s="113" customFormat="1" ht="19.5" customHeight="1">
      <c r="A86" s="46"/>
      <c r="B86" s="46"/>
      <c r="C86" s="46"/>
      <c r="D86" s="47"/>
      <c r="E86" s="46"/>
      <c r="F86" s="215"/>
      <c r="G86" s="79"/>
      <c r="H86" s="230"/>
      <c r="I86" s="79"/>
      <c r="J86" s="230"/>
      <c r="K86" s="79"/>
      <c r="L86" s="233"/>
      <c r="M86" s="137"/>
      <c r="N86" s="233"/>
      <c r="O86" s="137"/>
      <c r="P86" s="233"/>
      <c r="Q86" s="137"/>
      <c r="R86" s="233"/>
      <c r="S86" s="137"/>
      <c r="T86" s="199"/>
      <c r="U86" s="96"/>
      <c r="V86" s="122"/>
      <c r="W86" s="121"/>
      <c r="X86" s="121"/>
      <c r="Y86" s="122"/>
      <c r="Z86" s="121"/>
      <c r="AA86" s="121"/>
      <c r="AB86" s="122"/>
      <c r="AC86" s="121"/>
      <c r="AD86" s="12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  <c r="FH86" s="111"/>
    </row>
    <row r="87" spans="1:164" s="113" customFormat="1" ht="19.5" customHeight="1">
      <c r="A87" s="46"/>
      <c r="B87" s="46"/>
      <c r="C87" s="46"/>
      <c r="D87" s="47"/>
      <c r="E87" s="46"/>
      <c r="F87" s="215"/>
      <c r="G87" s="79"/>
      <c r="H87" s="230"/>
      <c r="I87" s="79"/>
      <c r="J87" s="230"/>
      <c r="K87" s="79"/>
      <c r="L87" s="233"/>
      <c r="M87" s="137"/>
      <c r="N87" s="233"/>
      <c r="O87" s="137"/>
      <c r="P87" s="233"/>
      <c r="Q87" s="137"/>
      <c r="R87" s="233"/>
      <c r="S87" s="137"/>
      <c r="T87" s="199"/>
      <c r="U87" s="96"/>
      <c r="V87" s="122"/>
      <c r="W87" s="121"/>
      <c r="X87" s="121"/>
      <c r="Y87" s="122"/>
      <c r="Z87" s="121"/>
      <c r="AA87" s="121"/>
      <c r="AB87" s="122"/>
      <c r="AC87" s="121"/>
      <c r="AD87" s="12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  <c r="FH87" s="111"/>
    </row>
    <row r="88" spans="1:164" s="113" customFormat="1" ht="19.5" customHeight="1">
      <c r="A88" s="46"/>
      <c r="B88" s="46"/>
      <c r="C88" s="46"/>
      <c r="D88" s="47"/>
      <c r="E88" s="46"/>
      <c r="F88" s="215"/>
      <c r="G88" s="79"/>
      <c r="H88" s="230"/>
      <c r="I88" s="79"/>
      <c r="J88" s="230"/>
      <c r="K88" s="79"/>
      <c r="L88" s="233"/>
      <c r="M88" s="137"/>
      <c r="N88" s="233"/>
      <c r="O88" s="137"/>
      <c r="P88" s="233"/>
      <c r="Q88" s="137"/>
      <c r="R88" s="233"/>
      <c r="S88" s="137"/>
      <c r="T88" s="199"/>
      <c r="U88" s="96"/>
      <c r="V88" s="122"/>
      <c r="W88" s="121"/>
      <c r="X88" s="121"/>
      <c r="Y88" s="122"/>
      <c r="Z88" s="121"/>
      <c r="AA88" s="121"/>
      <c r="AB88" s="122"/>
      <c r="AC88" s="121"/>
      <c r="AD88" s="12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1"/>
      <c r="EW88" s="111"/>
      <c r="EX88" s="111"/>
      <c r="EY88" s="111"/>
      <c r="EZ88" s="111"/>
      <c r="FA88" s="111"/>
      <c r="FB88" s="111"/>
      <c r="FC88" s="111"/>
      <c r="FD88" s="111"/>
      <c r="FE88" s="111"/>
      <c r="FF88" s="111"/>
      <c r="FG88" s="111"/>
      <c r="FH88" s="111"/>
    </row>
    <row r="89" spans="1:164" s="113" customFormat="1" ht="19.5" customHeight="1" thickBot="1">
      <c r="A89" s="46"/>
      <c r="B89" s="46"/>
      <c r="C89" s="46"/>
      <c r="D89" s="47"/>
      <c r="E89" s="46"/>
      <c r="F89" s="215"/>
      <c r="G89" s="79"/>
      <c r="H89" s="230"/>
      <c r="I89" s="79"/>
      <c r="J89" s="230"/>
      <c r="K89" s="79"/>
      <c r="L89" s="233"/>
      <c r="M89" s="137"/>
      <c r="N89" s="233"/>
      <c r="O89" s="137"/>
      <c r="P89" s="233"/>
      <c r="Q89" s="137"/>
      <c r="R89" s="233"/>
      <c r="S89" s="137"/>
      <c r="T89" s="199"/>
      <c r="U89" s="96"/>
      <c r="V89" s="122"/>
      <c r="W89" s="121"/>
      <c r="X89" s="121"/>
      <c r="Y89" s="122"/>
      <c r="Z89" s="121"/>
      <c r="AA89" s="121"/>
      <c r="AB89" s="122"/>
      <c r="AC89" s="121"/>
      <c r="AD89" s="12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1"/>
      <c r="EW89" s="111"/>
      <c r="EX89" s="111"/>
      <c r="EY89" s="111"/>
      <c r="EZ89" s="111"/>
      <c r="FA89" s="111"/>
      <c r="FB89" s="111"/>
      <c r="FC89" s="111"/>
      <c r="FD89" s="111"/>
      <c r="FE89" s="111"/>
      <c r="FF89" s="111"/>
      <c r="FG89" s="111"/>
      <c r="FH89" s="111"/>
    </row>
    <row r="90" spans="1:164" s="113" customFormat="1" ht="15" customHeight="1">
      <c r="A90" s="34"/>
      <c r="B90" s="38"/>
      <c r="C90" s="39"/>
      <c r="D90" s="48"/>
      <c r="E90" s="41"/>
      <c r="F90" s="212"/>
      <c r="G90" s="138"/>
      <c r="H90" s="227"/>
      <c r="I90" s="147"/>
      <c r="J90" s="227"/>
      <c r="K90" s="147"/>
      <c r="L90" s="227"/>
      <c r="M90" s="147"/>
      <c r="N90" s="227"/>
      <c r="O90" s="147"/>
      <c r="P90" s="236"/>
      <c r="Q90" s="140"/>
      <c r="R90" s="236"/>
      <c r="S90" s="140"/>
      <c r="T90" s="244"/>
      <c r="U90" s="245"/>
      <c r="V90" s="122"/>
      <c r="W90" s="121"/>
      <c r="X90" s="121"/>
      <c r="Y90" s="122"/>
      <c r="Z90" s="121"/>
      <c r="AA90" s="121"/>
      <c r="AB90" s="122"/>
      <c r="AC90" s="121"/>
      <c r="AD90" s="12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1"/>
      <c r="EF90" s="111"/>
      <c r="EG90" s="111"/>
      <c r="EH90" s="111"/>
      <c r="EI90" s="111"/>
      <c r="EJ90" s="111"/>
      <c r="EK90" s="111"/>
      <c r="EL90" s="111"/>
      <c r="EM90" s="111"/>
      <c r="EN90" s="111"/>
      <c r="EO90" s="111"/>
      <c r="EP90" s="111"/>
      <c r="EQ90" s="111"/>
      <c r="ER90" s="111"/>
      <c r="ES90" s="111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  <c r="FF90" s="111"/>
      <c r="FG90" s="111"/>
      <c r="FH90" s="111"/>
    </row>
    <row r="91" spans="1:164" s="113" customFormat="1" ht="24" customHeight="1">
      <c r="A91" s="17"/>
      <c r="B91" s="16" t="s">
        <v>15</v>
      </c>
      <c r="C91" s="23" t="s">
        <v>3</v>
      </c>
      <c r="D91" s="24">
        <v>853</v>
      </c>
      <c r="E91" s="35">
        <f>G91/D91</f>
        <v>5464.384173505276</v>
      </c>
      <c r="F91" s="213">
        <f>H91+J91+L91+N91+P91+R91</f>
        <v>1</v>
      </c>
      <c r="G91" s="131">
        <f>I91+K91+M91+O91+Q91+S91</f>
        <v>4661119.7</v>
      </c>
      <c r="H91" s="228">
        <f>I91/$G91</f>
        <v>0</v>
      </c>
      <c r="I91" s="149">
        <f>I84</f>
        <v>0</v>
      </c>
      <c r="J91" s="228">
        <f>K91/$G91</f>
        <v>0</v>
      </c>
      <c r="K91" s="149">
        <f>K84</f>
        <v>0</v>
      </c>
      <c r="L91" s="228">
        <f>M91/$G91</f>
        <v>0.5854918333693624</v>
      </c>
      <c r="M91" s="149">
        <f>M84</f>
        <v>2729047.5187070523</v>
      </c>
      <c r="N91" s="228">
        <f>O91/$G91</f>
        <v>0</v>
      </c>
      <c r="O91" s="149">
        <f>O84</f>
        <v>0</v>
      </c>
      <c r="P91" s="237">
        <f>Q91/$G91</f>
        <v>0.4145081666306377</v>
      </c>
      <c r="Q91" s="143">
        <f>Q84</f>
        <v>1932072.181292948</v>
      </c>
      <c r="R91" s="237">
        <f>S91/$G91</f>
        <v>0</v>
      </c>
      <c r="S91" s="242">
        <f>S84</f>
        <v>0</v>
      </c>
      <c r="T91" s="243"/>
      <c r="U91" s="98">
        <f>U84</f>
        <v>1258987.9896216597</v>
      </c>
      <c r="V91" s="162"/>
      <c r="W91" s="121"/>
      <c r="X91" s="121"/>
      <c r="Y91" s="122"/>
      <c r="Z91" s="121"/>
      <c r="AA91" s="121"/>
      <c r="AB91" s="122"/>
      <c r="AC91" s="121"/>
      <c r="AD91" s="12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11"/>
    </row>
    <row r="92" spans="1:164" s="113" customFormat="1" ht="15" customHeight="1" thickBot="1">
      <c r="A92" s="12"/>
      <c r="B92" s="42"/>
      <c r="C92" s="43"/>
      <c r="D92" s="30"/>
      <c r="E92" s="45"/>
      <c r="F92" s="214"/>
      <c r="G92" s="144"/>
      <c r="H92" s="229"/>
      <c r="I92" s="151"/>
      <c r="J92" s="229"/>
      <c r="K92" s="151"/>
      <c r="L92" s="229"/>
      <c r="M92" s="151"/>
      <c r="N92" s="229"/>
      <c r="O92" s="151"/>
      <c r="P92" s="238"/>
      <c r="Q92" s="146"/>
      <c r="R92" s="238"/>
      <c r="S92" s="146"/>
      <c r="T92" s="246"/>
      <c r="U92" s="246"/>
      <c r="V92" s="122"/>
      <c r="W92" s="121"/>
      <c r="X92" s="121"/>
      <c r="Y92" s="122"/>
      <c r="Z92" s="121"/>
      <c r="AA92" s="121"/>
      <c r="AB92" s="122"/>
      <c r="AC92" s="121"/>
      <c r="AD92" s="12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1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111"/>
    </row>
    <row r="93" spans="1:164" ht="15" thickBot="1">
      <c r="A93" s="49"/>
      <c r="B93" s="50"/>
      <c r="C93" s="50"/>
      <c r="D93" s="51"/>
      <c r="E93" s="50"/>
      <c r="F93" s="216"/>
      <c r="G93" s="80"/>
      <c r="H93" s="231"/>
      <c r="I93" s="80"/>
      <c r="J93" s="231"/>
      <c r="K93" s="80"/>
      <c r="L93" s="234"/>
      <c r="M93" s="154"/>
      <c r="N93" s="234"/>
      <c r="O93" s="154"/>
      <c r="P93" s="234"/>
      <c r="Q93" s="154"/>
      <c r="R93" s="87"/>
      <c r="S93" s="154"/>
      <c r="T93" s="202"/>
      <c r="U93" s="187"/>
      <c r="V93" s="88"/>
      <c r="W93" s="155"/>
      <c r="X93" s="155"/>
      <c r="Y93" s="88"/>
      <c r="Z93" s="155"/>
      <c r="AA93" s="155"/>
      <c r="AB93" s="88"/>
      <c r="AC93" s="155"/>
      <c r="AD93" s="155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</row>
    <row r="94" spans="1:164" s="113" customFormat="1" ht="15" customHeight="1">
      <c r="A94" s="52"/>
      <c r="B94" s="53"/>
      <c r="C94" s="54"/>
      <c r="D94" s="55"/>
      <c r="E94" s="56"/>
      <c r="F94" s="217"/>
      <c r="G94" s="156"/>
      <c r="H94" s="227"/>
      <c r="I94" s="147"/>
      <c r="J94" s="227"/>
      <c r="K94" s="147"/>
      <c r="L94" s="227"/>
      <c r="M94" s="147"/>
      <c r="N94" s="227"/>
      <c r="O94" s="147"/>
      <c r="P94" s="239"/>
      <c r="Q94" s="157"/>
      <c r="R94" s="85"/>
      <c r="S94" s="157"/>
      <c r="T94" s="203"/>
      <c r="U94" s="185"/>
      <c r="V94" s="122"/>
      <c r="W94" s="121"/>
      <c r="X94" s="121"/>
      <c r="Y94" s="122"/>
      <c r="Z94" s="121"/>
      <c r="AA94" s="121"/>
      <c r="AB94" s="122"/>
      <c r="AC94" s="121"/>
      <c r="AD94" s="12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</row>
    <row r="95" spans="1:164" s="113" customFormat="1" ht="24" customHeight="1">
      <c r="A95" s="158"/>
      <c r="B95" s="273" t="s">
        <v>16</v>
      </c>
      <c r="C95" s="159" t="s">
        <v>3</v>
      </c>
      <c r="D95" s="160">
        <v>853</v>
      </c>
      <c r="E95" s="161">
        <f>G95/D95</f>
        <v>3199.3523079801316</v>
      </c>
      <c r="F95" s="218">
        <f>H95+J95+L95+N95+P95+R95+T95</f>
        <v>1</v>
      </c>
      <c r="G95" s="149">
        <f>I95+K95+M95+O95</f>
        <v>2729047.5187070523</v>
      </c>
      <c r="H95" s="228">
        <f>I95/$G95</f>
        <v>0</v>
      </c>
      <c r="I95" s="149">
        <f>I84</f>
        <v>0</v>
      </c>
      <c r="J95" s="228">
        <f>K95/$G95</f>
        <v>0</v>
      </c>
      <c r="K95" s="149">
        <f>K84</f>
        <v>0</v>
      </c>
      <c r="L95" s="228">
        <f>M95/$G95</f>
        <v>1</v>
      </c>
      <c r="M95" s="149">
        <f>M84</f>
        <v>2729047.5187070523</v>
      </c>
      <c r="N95" s="228">
        <f>O95/$G95</f>
        <v>0</v>
      </c>
      <c r="O95" s="149">
        <f>O84</f>
        <v>0</v>
      </c>
      <c r="P95" s="240"/>
      <c r="Q95" s="162"/>
      <c r="R95" s="163"/>
      <c r="S95" s="162"/>
      <c r="T95" s="101"/>
      <c r="U95" s="100"/>
      <c r="V95" s="162"/>
      <c r="W95" s="121"/>
      <c r="X95" s="121"/>
      <c r="Y95" s="122"/>
      <c r="Z95" s="121"/>
      <c r="AA95" s="121"/>
      <c r="AB95" s="122"/>
      <c r="AC95" s="121"/>
      <c r="AD95" s="12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111"/>
    </row>
    <row r="96" spans="1:164" s="113" customFormat="1" ht="15" customHeight="1" thickBot="1">
      <c r="A96" s="57"/>
      <c r="B96" s="58"/>
      <c r="C96" s="59"/>
      <c r="D96" s="60"/>
      <c r="E96" s="61"/>
      <c r="F96" s="219"/>
      <c r="G96" s="164"/>
      <c r="H96" s="229"/>
      <c r="I96" s="151"/>
      <c r="J96" s="229"/>
      <c r="K96" s="151"/>
      <c r="L96" s="229"/>
      <c r="M96" s="151"/>
      <c r="N96" s="229"/>
      <c r="O96" s="151"/>
      <c r="P96" s="241"/>
      <c r="Q96" s="165"/>
      <c r="R96" s="86"/>
      <c r="S96" s="165"/>
      <c r="T96" s="204"/>
      <c r="U96" s="186"/>
      <c r="V96" s="122"/>
      <c r="W96" s="121"/>
      <c r="X96" s="121"/>
      <c r="Y96" s="122"/>
      <c r="Z96" s="121"/>
      <c r="AA96" s="121"/>
      <c r="AB96" s="122"/>
      <c r="AC96" s="121"/>
      <c r="AD96" s="12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1"/>
      <c r="EF96" s="111"/>
      <c r="EG96" s="111"/>
      <c r="EH96" s="111"/>
      <c r="EI96" s="111"/>
      <c r="EJ96" s="111"/>
      <c r="EK96" s="111"/>
      <c r="EL96" s="111"/>
      <c r="EM96" s="111"/>
      <c r="EN96" s="111"/>
      <c r="EO96" s="111"/>
      <c r="EP96" s="111"/>
      <c r="EQ96" s="111"/>
      <c r="ER96" s="111"/>
      <c r="ES96" s="111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1"/>
      <c r="FF96" s="111"/>
      <c r="FG96" s="111"/>
      <c r="FH96" s="111"/>
    </row>
    <row r="97" spans="6:164" ht="13.5" thickBot="1">
      <c r="F97" s="216"/>
      <c r="H97" s="81"/>
      <c r="I97" s="81"/>
      <c r="J97" s="81"/>
      <c r="K97" s="81"/>
      <c r="L97" s="88"/>
      <c r="M97" s="155"/>
      <c r="N97" s="88"/>
      <c r="O97" s="155"/>
      <c r="P97" s="234"/>
      <c r="Q97" s="155"/>
      <c r="R97" s="88"/>
      <c r="S97" s="155"/>
      <c r="T97" s="205"/>
      <c r="U97" s="188"/>
      <c r="V97" s="88"/>
      <c r="W97" s="155"/>
      <c r="X97" s="155"/>
      <c r="Y97" s="88"/>
      <c r="Z97" s="155"/>
      <c r="AA97" s="155"/>
      <c r="AB97" s="88"/>
      <c r="AC97" s="155"/>
      <c r="AD97" s="155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  <c r="EL97" s="89"/>
      <c r="EM97" s="89"/>
      <c r="EN97" s="89"/>
      <c r="EO97" s="89"/>
      <c r="EP97" s="89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89"/>
      <c r="FD97" s="89"/>
      <c r="FE97" s="89"/>
      <c r="FF97" s="89"/>
      <c r="FG97" s="89"/>
      <c r="FH97" s="89"/>
    </row>
    <row r="98" spans="1:164" s="113" customFormat="1" ht="15" customHeight="1">
      <c r="A98" s="62"/>
      <c r="B98" s="63"/>
      <c r="C98" s="64"/>
      <c r="D98" s="65"/>
      <c r="E98" s="66"/>
      <c r="F98" s="220"/>
      <c r="G98" s="166"/>
      <c r="H98" s="82"/>
      <c r="I98" s="157"/>
      <c r="J98" s="85"/>
      <c r="K98" s="157"/>
      <c r="L98" s="85"/>
      <c r="M98" s="157"/>
      <c r="N98" s="85"/>
      <c r="O98" s="148"/>
      <c r="P98" s="236"/>
      <c r="Q98" s="140"/>
      <c r="R98" s="93"/>
      <c r="S98" s="140"/>
      <c r="T98" s="200"/>
      <c r="U98" s="185"/>
      <c r="V98" s="122"/>
      <c r="W98" s="121"/>
      <c r="X98" s="121"/>
      <c r="Y98" s="122"/>
      <c r="Z98" s="121"/>
      <c r="AA98" s="121"/>
      <c r="AB98" s="122"/>
      <c r="AC98" s="121"/>
      <c r="AD98" s="12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</row>
    <row r="99" spans="1:164" s="113" customFormat="1" ht="24" customHeight="1">
      <c r="A99" s="167"/>
      <c r="B99" s="274" t="s">
        <v>17</v>
      </c>
      <c r="C99" s="168" t="s">
        <v>3</v>
      </c>
      <c r="D99" s="169">
        <v>853</v>
      </c>
      <c r="E99" s="170">
        <f>G99/D99</f>
        <v>2265.0318655251444</v>
      </c>
      <c r="F99" s="221">
        <f>H99+J99+L99+N99+P99+R99+T99</f>
        <v>1</v>
      </c>
      <c r="G99" s="242">
        <f>Q99+S99</f>
        <v>1932072.181292948</v>
      </c>
      <c r="H99" s="150"/>
      <c r="I99" s="162"/>
      <c r="J99" s="163"/>
      <c r="K99" s="162"/>
      <c r="L99" s="163"/>
      <c r="M99" s="162"/>
      <c r="N99" s="163"/>
      <c r="O99" s="119"/>
      <c r="P99" s="237">
        <f>Q99/$G99</f>
        <v>1</v>
      </c>
      <c r="Q99" s="143">
        <f>Q84</f>
        <v>1932072.181292948</v>
      </c>
      <c r="R99" s="142">
        <f>S99/$G99</f>
        <v>0</v>
      </c>
      <c r="S99" s="143">
        <f>S84</f>
        <v>0</v>
      </c>
      <c r="T99" s="99"/>
      <c r="U99" s="100"/>
      <c r="V99" s="162"/>
      <c r="W99" s="121"/>
      <c r="X99" s="121"/>
      <c r="Y99" s="122"/>
      <c r="Z99" s="121"/>
      <c r="AA99" s="121"/>
      <c r="AB99" s="122"/>
      <c r="AC99" s="121"/>
      <c r="AD99" s="12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1"/>
      <c r="EF99" s="111"/>
      <c r="EG99" s="111"/>
      <c r="EH99" s="111"/>
      <c r="EI99" s="111"/>
      <c r="EJ99" s="111"/>
      <c r="EK99" s="111"/>
      <c r="EL99" s="111"/>
      <c r="EM99" s="111"/>
      <c r="EN99" s="111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</row>
    <row r="100" spans="1:164" s="113" customFormat="1" ht="15" customHeight="1" thickBot="1">
      <c r="A100" s="67"/>
      <c r="B100" s="68"/>
      <c r="C100" s="69"/>
      <c r="D100" s="70"/>
      <c r="E100" s="71"/>
      <c r="F100" s="222"/>
      <c r="G100" s="171"/>
      <c r="H100" s="83"/>
      <c r="I100" s="165"/>
      <c r="J100" s="86"/>
      <c r="K100" s="165"/>
      <c r="L100" s="86"/>
      <c r="M100" s="165"/>
      <c r="N100" s="86"/>
      <c r="O100" s="152"/>
      <c r="P100" s="238"/>
      <c r="Q100" s="146"/>
      <c r="R100" s="94"/>
      <c r="S100" s="146"/>
      <c r="T100" s="201"/>
      <c r="U100" s="186"/>
      <c r="V100" s="122"/>
      <c r="W100" s="121"/>
      <c r="X100" s="121"/>
      <c r="Y100" s="122"/>
      <c r="Z100" s="121"/>
      <c r="AA100" s="121"/>
      <c r="AB100" s="122"/>
      <c r="AC100" s="121"/>
      <c r="AD100" s="12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</row>
    <row r="101" spans="8:164" ht="12.75">
      <c r="H101" s="81"/>
      <c r="I101" s="81"/>
      <c r="J101" s="81"/>
      <c r="K101" s="81"/>
      <c r="L101" s="88"/>
      <c r="M101" s="155"/>
      <c r="N101" s="88"/>
      <c r="O101" s="155"/>
      <c r="P101" s="88"/>
      <c r="Q101" s="155"/>
      <c r="R101" s="88"/>
      <c r="S101" s="155"/>
      <c r="T101" s="205"/>
      <c r="U101" s="188"/>
      <c r="V101" s="88"/>
      <c r="W101" s="155"/>
      <c r="X101" s="155"/>
      <c r="Y101" s="88"/>
      <c r="Z101" s="155"/>
      <c r="AA101" s="155"/>
      <c r="AB101" s="88"/>
      <c r="AC101" s="155"/>
      <c r="AD101" s="155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</row>
    <row r="102" spans="2:164" ht="24" customHeight="1">
      <c r="B102" s="72" t="s">
        <v>18</v>
      </c>
      <c r="C102" s="50" t="s">
        <v>26</v>
      </c>
      <c r="D102" s="51"/>
      <c r="E102" s="50" t="s">
        <v>22</v>
      </c>
      <c r="F102" s="153"/>
      <c r="G102" s="172" t="s">
        <v>23</v>
      </c>
      <c r="H102" s="80"/>
      <c r="I102" s="80"/>
      <c r="J102" s="80" t="s">
        <v>27</v>
      </c>
      <c r="K102" s="80"/>
      <c r="L102" s="87"/>
      <c r="M102" s="173" t="s">
        <v>28</v>
      </c>
      <c r="N102" s="87"/>
      <c r="O102" s="154"/>
      <c r="P102" s="87"/>
      <c r="Q102" s="154"/>
      <c r="R102" s="87"/>
      <c r="S102" s="154"/>
      <c r="T102" s="202"/>
      <c r="U102" s="187"/>
      <c r="V102" s="88"/>
      <c r="W102" s="155"/>
      <c r="X102" s="155"/>
      <c r="Y102" s="88"/>
      <c r="Z102" s="155"/>
      <c r="AA102" s="155"/>
      <c r="AB102" s="88"/>
      <c r="AC102" s="155"/>
      <c r="AD102" s="155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</row>
    <row r="103" spans="1:164" s="174" customFormat="1" ht="24" customHeight="1">
      <c r="A103" s="4"/>
      <c r="B103" s="50" t="s">
        <v>33</v>
      </c>
      <c r="C103" s="50"/>
      <c r="D103" s="51"/>
      <c r="E103" s="50"/>
      <c r="F103" s="153"/>
      <c r="G103" s="50" t="s">
        <v>32</v>
      </c>
      <c r="H103" s="80"/>
      <c r="I103" s="80"/>
      <c r="J103" s="80"/>
      <c r="K103" s="80"/>
      <c r="L103" s="87"/>
      <c r="M103" s="154"/>
      <c r="N103" s="87"/>
      <c r="O103" s="154"/>
      <c r="P103" s="87"/>
      <c r="Q103" s="154"/>
      <c r="R103" s="87"/>
      <c r="S103" s="154"/>
      <c r="T103" s="202"/>
      <c r="U103" s="187"/>
      <c r="V103" s="88"/>
      <c r="W103" s="155"/>
      <c r="X103" s="155"/>
      <c r="Y103" s="88"/>
      <c r="Z103" s="155"/>
      <c r="AA103" s="155"/>
      <c r="AB103" s="88"/>
      <c r="AC103" s="155"/>
      <c r="AD103" s="155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  <c r="EL103" s="89"/>
      <c r="EM103" s="89"/>
      <c r="EN103" s="89"/>
      <c r="EO103" s="89"/>
      <c r="EP103" s="89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89"/>
      <c r="FD103" s="89"/>
      <c r="FE103" s="89"/>
      <c r="FF103" s="89"/>
      <c r="FG103" s="89"/>
      <c r="FH103" s="89"/>
    </row>
    <row r="104" spans="2:164" ht="24" customHeight="1">
      <c r="B104" s="49" t="s">
        <v>19</v>
      </c>
      <c r="C104" s="50"/>
      <c r="D104" s="51"/>
      <c r="E104" s="50"/>
      <c r="F104" s="153"/>
      <c r="G104" s="50" t="s">
        <v>24</v>
      </c>
      <c r="H104" s="80"/>
      <c r="I104" s="80"/>
      <c r="J104" s="80"/>
      <c r="K104" s="80"/>
      <c r="L104" s="87"/>
      <c r="M104" s="154"/>
      <c r="N104" s="87"/>
      <c r="O104" s="154"/>
      <c r="P104" s="87"/>
      <c r="Q104" s="154"/>
      <c r="R104" s="87"/>
      <c r="S104" s="154"/>
      <c r="T104" s="202"/>
      <c r="U104" s="187"/>
      <c r="V104" s="88"/>
      <c r="W104" s="155"/>
      <c r="X104" s="155"/>
      <c r="Y104" s="88"/>
      <c r="Z104" s="155"/>
      <c r="AA104" s="155"/>
      <c r="AB104" s="88"/>
      <c r="AC104" s="155"/>
      <c r="AD104" s="155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</row>
    <row r="105" spans="2:164" ht="24" customHeight="1">
      <c r="B105" s="49" t="s">
        <v>20</v>
      </c>
      <c r="C105" s="50"/>
      <c r="D105" s="51"/>
      <c r="E105" s="50"/>
      <c r="F105" s="153"/>
      <c r="G105" s="49" t="s">
        <v>25</v>
      </c>
      <c r="H105" s="50"/>
      <c r="I105" s="50"/>
      <c r="J105" s="50"/>
      <c r="K105" s="50"/>
      <c r="L105" s="87"/>
      <c r="M105" s="154"/>
      <c r="N105" s="87"/>
      <c r="O105" s="154"/>
      <c r="P105" s="87"/>
      <c r="Q105" s="154"/>
      <c r="R105" s="87"/>
      <c r="S105" s="154"/>
      <c r="T105" s="202"/>
      <c r="U105" s="187"/>
      <c r="V105" s="88"/>
      <c r="W105" s="155"/>
      <c r="X105" s="155"/>
      <c r="Y105" s="88"/>
      <c r="Z105" s="155"/>
      <c r="AA105" s="155"/>
      <c r="AB105" s="88"/>
      <c r="AC105" s="155"/>
      <c r="AD105" s="155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</row>
    <row r="106" spans="2:164" ht="24" customHeight="1" thickBot="1">
      <c r="B106" s="73" t="s">
        <v>29</v>
      </c>
      <c r="C106" s="73"/>
      <c r="D106" s="74"/>
      <c r="E106" s="73"/>
      <c r="F106" s="153"/>
      <c r="G106" s="49" t="s">
        <v>30</v>
      </c>
      <c r="L106" s="87"/>
      <c r="M106" s="175"/>
      <c r="N106" s="90"/>
      <c r="O106" s="175"/>
      <c r="P106" s="87"/>
      <c r="Q106" s="154"/>
      <c r="R106" s="87"/>
      <c r="S106" s="154"/>
      <c r="T106" s="202"/>
      <c r="U106" s="187"/>
      <c r="V106" s="88"/>
      <c r="W106" s="155"/>
      <c r="X106" s="155"/>
      <c r="Y106" s="88"/>
      <c r="Z106" s="155"/>
      <c r="AA106" s="155"/>
      <c r="AB106" s="88"/>
      <c r="AC106" s="155"/>
      <c r="AD106" s="155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</row>
    <row r="107" spans="2:164" ht="24" customHeight="1" thickBot="1">
      <c r="B107" s="49" t="s">
        <v>21</v>
      </c>
      <c r="C107" s="50"/>
      <c r="D107" s="51"/>
      <c r="E107" s="50"/>
      <c r="F107" s="153"/>
      <c r="G107" s="73" t="s">
        <v>29</v>
      </c>
      <c r="H107" s="73"/>
      <c r="I107" s="73"/>
      <c r="J107" s="73"/>
      <c r="K107" s="73"/>
      <c r="L107" s="87"/>
      <c r="M107" s="154"/>
      <c r="N107" s="87"/>
      <c r="O107" s="154"/>
      <c r="P107" s="87"/>
      <c r="Q107" s="154"/>
      <c r="R107" s="87"/>
      <c r="S107" s="154"/>
      <c r="T107" s="202"/>
      <c r="U107" s="187"/>
      <c r="V107" s="88"/>
      <c r="W107" s="155"/>
      <c r="X107" s="155"/>
      <c r="Y107" s="88"/>
      <c r="Z107" s="155"/>
      <c r="AA107" s="155"/>
      <c r="AB107" s="88"/>
      <c r="AC107" s="155"/>
      <c r="AD107" s="155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  <c r="EG107" s="89"/>
      <c r="EH107" s="89"/>
      <c r="EI107" s="89"/>
      <c r="EJ107" s="89"/>
      <c r="EK107" s="89"/>
      <c r="EL107" s="89"/>
      <c r="EM107" s="89"/>
      <c r="EN107" s="89"/>
      <c r="EO107" s="89"/>
      <c r="EP107" s="89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89"/>
      <c r="FD107" s="89"/>
      <c r="FE107" s="89"/>
      <c r="FF107" s="89"/>
      <c r="FG107" s="89"/>
      <c r="FH107" s="89"/>
    </row>
    <row r="108" spans="2:164" ht="24" customHeight="1">
      <c r="B108" s="50" t="str">
        <f ca="1">CELL("filnavn")</f>
        <v>E:\DATA\Selskab 99, Varde Bolig Administration\Afdeling 0139\Helhedsplan, Møllegården, Outrup\[25.09.2014, Budgetark til LBF Møllegården til skema C - Korrektioner sendt til Heidi fra Deloitte.xls]Helhedsplan</v>
      </c>
      <c r="C108" s="50"/>
      <c r="D108" s="51"/>
      <c r="E108" s="50"/>
      <c r="F108" s="153"/>
      <c r="G108" s="50" t="s">
        <v>21</v>
      </c>
      <c r="H108" s="50"/>
      <c r="I108" s="50"/>
      <c r="J108" s="50"/>
      <c r="K108" s="50"/>
      <c r="L108" s="87"/>
      <c r="M108" s="154"/>
      <c r="N108" s="87"/>
      <c r="O108" s="154"/>
      <c r="P108" s="87"/>
      <c r="Q108" s="154"/>
      <c r="R108" s="87"/>
      <c r="S108" s="154"/>
      <c r="T108" s="202"/>
      <c r="U108" s="187"/>
      <c r="V108" s="88"/>
      <c r="W108" s="155"/>
      <c r="X108" s="155"/>
      <c r="Y108" s="88"/>
      <c r="Z108" s="155"/>
      <c r="AA108" s="155"/>
      <c r="AB108" s="88"/>
      <c r="AC108" s="155"/>
      <c r="AD108" s="155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</row>
    <row r="109" spans="1:164" s="174" customFormat="1" ht="24" customHeight="1">
      <c r="A109" s="4"/>
      <c r="B109" s="50"/>
      <c r="C109" s="50"/>
      <c r="D109" s="51"/>
      <c r="E109" s="50"/>
      <c r="F109" s="153"/>
      <c r="G109" s="50"/>
      <c r="H109" s="50"/>
      <c r="I109" s="50"/>
      <c r="J109" s="50"/>
      <c r="K109" s="50"/>
      <c r="L109" s="87"/>
      <c r="M109" s="154"/>
      <c r="N109" s="87"/>
      <c r="O109" s="154"/>
      <c r="P109" s="87"/>
      <c r="Q109" s="154"/>
      <c r="R109" s="87"/>
      <c r="S109" s="154"/>
      <c r="T109" s="202"/>
      <c r="U109" s="187"/>
      <c r="V109" s="88"/>
      <c r="W109" s="155"/>
      <c r="X109" s="155"/>
      <c r="Y109" s="88"/>
      <c r="Z109" s="155"/>
      <c r="AA109" s="155"/>
      <c r="AB109" s="88"/>
      <c r="AC109" s="155"/>
      <c r="AD109" s="155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</row>
    <row r="110" spans="1:30" s="89" customFormat="1" ht="14.25">
      <c r="A110" s="4"/>
      <c r="B110" s="50"/>
      <c r="C110" s="50"/>
      <c r="D110" s="51"/>
      <c r="E110" s="50"/>
      <c r="F110" s="153"/>
      <c r="G110" s="50"/>
      <c r="H110" s="50"/>
      <c r="I110" s="50"/>
      <c r="J110" s="50"/>
      <c r="K110" s="50"/>
      <c r="L110" s="87"/>
      <c r="M110" s="154"/>
      <c r="N110" s="87"/>
      <c r="O110" s="154"/>
      <c r="P110" s="87"/>
      <c r="Q110" s="154"/>
      <c r="R110" s="87"/>
      <c r="S110" s="154"/>
      <c r="T110" s="202"/>
      <c r="U110" s="187"/>
      <c r="V110" s="88"/>
      <c r="W110" s="155"/>
      <c r="X110" s="155"/>
      <c r="Y110" s="88"/>
      <c r="Z110" s="155"/>
      <c r="AA110" s="155"/>
      <c r="AB110" s="88"/>
      <c r="AC110" s="155"/>
      <c r="AD110" s="155"/>
    </row>
    <row r="111" spans="1:30" s="89" customFormat="1" ht="14.25">
      <c r="A111" s="4"/>
      <c r="B111" s="50"/>
      <c r="C111" s="50"/>
      <c r="D111" s="51"/>
      <c r="E111" s="50"/>
      <c r="F111" s="153"/>
      <c r="G111" s="50"/>
      <c r="H111" s="50"/>
      <c r="I111" s="50"/>
      <c r="J111" s="50"/>
      <c r="K111" s="50"/>
      <c r="L111" s="87"/>
      <c r="M111" s="154"/>
      <c r="N111" s="87"/>
      <c r="O111" s="154"/>
      <c r="P111" s="87"/>
      <c r="Q111" s="154"/>
      <c r="R111" s="87"/>
      <c r="S111" s="154"/>
      <c r="T111" s="202"/>
      <c r="U111" s="187"/>
      <c r="V111" s="88"/>
      <c r="W111" s="155"/>
      <c r="X111" s="155"/>
      <c r="Y111" s="88"/>
      <c r="Z111" s="155"/>
      <c r="AA111" s="155"/>
      <c r="AB111" s="88"/>
      <c r="AC111" s="155"/>
      <c r="AD111" s="155"/>
    </row>
    <row r="112" spans="1:30" s="89" customFormat="1" ht="14.25">
      <c r="A112" s="4"/>
      <c r="B112" s="50"/>
      <c r="C112" s="50"/>
      <c r="D112" s="51"/>
      <c r="E112" s="50"/>
      <c r="F112" s="153"/>
      <c r="G112" s="50"/>
      <c r="H112" s="50"/>
      <c r="I112" s="50"/>
      <c r="J112" s="50"/>
      <c r="K112" s="50"/>
      <c r="L112" s="87"/>
      <c r="M112" s="154"/>
      <c r="N112" s="87"/>
      <c r="O112" s="154"/>
      <c r="P112" s="87"/>
      <c r="Q112" s="154"/>
      <c r="R112" s="87"/>
      <c r="S112" s="154"/>
      <c r="T112" s="202"/>
      <c r="U112" s="187"/>
      <c r="V112" s="88"/>
      <c r="W112" s="155"/>
      <c r="X112" s="155"/>
      <c r="Y112" s="88"/>
      <c r="Z112" s="155"/>
      <c r="AA112" s="155"/>
      <c r="AB112" s="88"/>
      <c r="AC112" s="155"/>
      <c r="AD112" s="155"/>
    </row>
    <row r="113" spans="1:30" s="89" customFormat="1" ht="14.25">
      <c r="A113" s="4"/>
      <c r="B113" s="50"/>
      <c r="C113" s="50"/>
      <c r="D113" s="51"/>
      <c r="E113" s="50"/>
      <c r="F113" s="153"/>
      <c r="G113" s="50"/>
      <c r="H113" s="50"/>
      <c r="I113" s="50"/>
      <c r="J113" s="50"/>
      <c r="K113" s="50"/>
      <c r="L113" s="87"/>
      <c r="M113" s="154"/>
      <c r="N113" s="87"/>
      <c r="O113" s="154"/>
      <c r="P113" s="87"/>
      <c r="Q113" s="154"/>
      <c r="R113" s="87"/>
      <c r="S113" s="154"/>
      <c r="T113" s="202"/>
      <c r="U113" s="187"/>
      <c r="V113" s="88"/>
      <c r="W113" s="155"/>
      <c r="X113" s="155"/>
      <c r="Y113" s="88"/>
      <c r="Z113" s="155"/>
      <c r="AA113" s="155"/>
      <c r="AB113" s="88"/>
      <c r="AC113" s="155"/>
      <c r="AD113" s="155"/>
    </row>
    <row r="114" spans="1:30" s="89" customFormat="1" ht="14.25">
      <c r="A114" s="4"/>
      <c r="B114" s="50"/>
      <c r="C114" s="50"/>
      <c r="D114" s="51"/>
      <c r="E114" s="50"/>
      <c r="F114" s="153"/>
      <c r="G114" s="50"/>
      <c r="H114" s="50"/>
      <c r="I114" s="50"/>
      <c r="J114" s="50"/>
      <c r="K114" s="50"/>
      <c r="L114" s="87"/>
      <c r="M114" s="154"/>
      <c r="N114" s="87"/>
      <c r="O114" s="154"/>
      <c r="P114" s="87"/>
      <c r="Q114" s="154"/>
      <c r="R114" s="87"/>
      <c r="S114" s="154"/>
      <c r="T114" s="202"/>
      <c r="U114" s="187"/>
      <c r="V114" s="88"/>
      <c r="W114" s="155"/>
      <c r="X114" s="155"/>
      <c r="Y114" s="88"/>
      <c r="Z114" s="155"/>
      <c r="AA114" s="155"/>
      <c r="AB114" s="88"/>
      <c r="AC114" s="155"/>
      <c r="AD114" s="155"/>
    </row>
    <row r="115" spans="1:30" s="89" customFormat="1" ht="12.75">
      <c r="A115" s="4"/>
      <c r="B115" s="4"/>
      <c r="C115" s="4"/>
      <c r="D115" s="5"/>
      <c r="E115" s="4"/>
      <c r="F115" s="105"/>
      <c r="G115" s="4"/>
      <c r="H115" s="4"/>
      <c r="I115" s="4"/>
      <c r="J115" s="4"/>
      <c r="K115" s="4"/>
      <c r="L115" s="88"/>
      <c r="M115" s="155"/>
      <c r="N115" s="88"/>
      <c r="O115" s="155"/>
      <c r="P115" s="88"/>
      <c r="Q115" s="155"/>
      <c r="R115" s="88"/>
      <c r="S115" s="155"/>
      <c r="T115" s="205"/>
      <c r="U115" s="188"/>
      <c r="V115" s="88"/>
      <c r="W115" s="155"/>
      <c r="X115" s="155"/>
      <c r="Y115" s="88"/>
      <c r="Z115" s="155"/>
      <c r="AA115" s="155"/>
      <c r="AB115" s="88"/>
      <c r="AC115" s="155"/>
      <c r="AD115" s="155"/>
    </row>
    <row r="116" spans="1:30" s="89" customFormat="1" ht="12.75">
      <c r="A116" s="4"/>
      <c r="B116" s="4"/>
      <c r="C116" s="4"/>
      <c r="D116" s="5"/>
      <c r="E116" s="4"/>
      <c r="F116" s="105"/>
      <c r="G116" s="4"/>
      <c r="H116" s="4"/>
      <c r="I116" s="4"/>
      <c r="J116" s="4"/>
      <c r="K116" s="4"/>
      <c r="L116" s="88"/>
      <c r="M116" s="155"/>
      <c r="N116" s="88"/>
      <c r="O116" s="155"/>
      <c r="P116" s="88"/>
      <c r="Q116" s="155"/>
      <c r="R116" s="88"/>
      <c r="S116" s="155"/>
      <c r="T116" s="205"/>
      <c r="U116" s="188"/>
      <c r="V116" s="88"/>
      <c r="W116" s="155"/>
      <c r="X116" s="155"/>
      <c r="Y116" s="88"/>
      <c r="Z116" s="155"/>
      <c r="AA116" s="155"/>
      <c r="AB116" s="88"/>
      <c r="AC116" s="155"/>
      <c r="AD116" s="155"/>
    </row>
    <row r="117" spans="12:164" ht="12.75">
      <c r="L117" s="88"/>
      <c r="M117" s="155"/>
      <c r="N117" s="88"/>
      <c r="O117" s="155"/>
      <c r="P117" s="88"/>
      <c r="Q117" s="155"/>
      <c r="R117" s="88"/>
      <c r="S117" s="155"/>
      <c r="T117" s="205"/>
      <c r="U117" s="188"/>
      <c r="V117" s="88"/>
      <c r="W117" s="155"/>
      <c r="X117" s="155"/>
      <c r="Y117" s="88"/>
      <c r="Z117" s="155"/>
      <c r="AA117" s="155"/>
      <c r="AB117" s="88"/>
      <c r="AC117" s="155"/>
      <c r="AD117" s="155"/>
      <c r="AE117" s="155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</row>
    <row r="118" spans="12:164" ht="12.75">
      <c r="L118" s="88"/>
      <c r="M118" s="155"/>
      <c r="N118" s="88"/>
      <c r="O118" s="155"/>
      <c r="P118" s="88"/>
      <c r="Q118" s="155"/>
      <c r="R118" s="88"/>
      <c r="S118" s="155"/>
      <c r="T118" s="205"/>
      <c r="U118" s="188"/>
      <c r="V118" s="88"/>
      <c r="W118" s="155"/>
      <c r="X118" s="155"/>
      <c r="Y118" s="88"/>
      <c r="Z118" s="155"/>
      <c r="AA118" s="155"/>
      <c r="AB118" s="88"/>
      <c r="AC118" s="155"/>
      <c r="AD118" s="155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</row>
    <row r="119" spans="1:164" s="174" customFormat="1" ht="12.75">
      <c r="A119" s="4"/>
      <c r="B119" s="4"/>
      <c r="C119" s="4"/>
      <c r="D119" s="5"/>
      <c r="E119" s="4"/>
      <c r="F119" s="105"/>
      <c r="G119" s="4"/>
      <c r="H119" s="4"/>
      <c r="I119" s="4"/>
      <c r="J119" s="4"/>
      <c r="K119" s="4"/>
      <c r="L119" s="88"/>
      <c r="M119" s="155"/>
      <c r="N119" s="88"/>
      <c r="O119" s="155"/>
      <c r="P119" s="88"/>
      <c r="Q119" s="155"/>
      <c r="R119" s="88"/>
      <c r="S119" s="155"/>
      <c r="T119" s="205"/>
      <c r="U119" s="188"/>
      <c r="V119" s="88"/>
      <c r="W119" s="155"/>
      <c r="X119" s="155"/>
      <c r="Y119" s="88"/>
      <c r="Z119" s="155"/>
      <c r="AA119" s="155"/>
      <c r="AB119" s="88"/>
      <c r="AC119" s="155"/>
      <c r="AD119" s="155"/>
      <c r="AE119" s="155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89"/>
      <c r="FG119" s="89"/>
      <c r="FH119" s="89"/>
    </row>
    <row r="120" spans="12:164" ht="12.75">
      <c r="L120" s="88"/>
      <c r="M120" s="155"/>
      <c r="N120" s="88"/>
      <c r="O120" s="155"/>
      <c r="P120" s="88"/>
      <c r="Q120" s="155"/>
      <c r="R120" s="88"/>
      <c r="S120" s="155"/>
      <c r="T120" s="205"/>
      <c r="U120" s="188"/>
      <c r="V120" s="88"/>
      <c r="W120" s="155"/>
      <c r="X120" s="155"/>
      <c r="Y120" s="88"/>
      <c r="Z120" s="155"/>
      <c r="AA120" s="155"/>
      <c r="AB120" s="88"/>
      <c r="AC120" s="155"/>
      <c r="AD120" s="155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</row>
    <row r="121" spans="1:164" s="174" customFormat="1" ht="12.75">
      <c r="A121" s="4"/>
      <c r="B121" s="4"/>
      <c r="C121" s="4"/>
      <c r="D121" s="5"/>
      <c r="E121" s="4"/>
      <c r="F121" s="105"/>
      <c r="G121" s="4"/>
      <c r="H121" s="4"/>
      <c r="I121" s="4"/>
      <c r="J121" s="4"/>
      <c r="K121" s="4"/>
      <c r="L121" s="88"/>
      <c r="M121" s="155"/>
      <c r="N121" s="88"/>
      <c r="O121" s="155"/>
      <c r="P121" s="88"/>
      <c r="Q121" s="155"/>
      <c r="R121" s="88"/>
      <c r="S121" s="155"/>
      <c r="T121" s="205"/>
      <c r="U121" s="188"/>
      <c r="V121" s="88"/>
      <c r="W121" s="155"/>
      <c r="X121" s="155"/>
      <c r="Y121" s="88"/>
      <c r="Z121" s="155"/>
      <c r="AA121" s="155"/>
      <c r="AB121" s="88"/>
      <c r="AC121" s="155"/>
      <c r="AD121" s="155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</row>
    <row r="122" spans="12:164" ht="12.75">
      <c r="L122" s="88"/>
      <c r="M122" s="155"/>
      <c r="N122" s="88"/>
      <c r="O122" s="155"/>
      <c r="P122" s="88"/>
      <c r="Q122" s="155"/>
      <c r="R122" s="88"/>
      <c r="S122" s="155"/>
      <c r="T122" s="205"/>
      <c r="U122" s="188"/>
      <c r="V122" s="88"/>
      <c r="W122" s="155"/>
      <c r="X122" s="155"/>
      <c r="Y122" s="88"/>
      <c r="Z122" s="155"/>
      <c r="AA122" s="155"/>
      <c r="AB122" s="88"/>
      <c r="AC122" s="155"/>
      <c r="AD122" s="155"/>
      <c r="AE122" s="155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  <c r="EL122" s="89"/>
      <c r="EM122" s="89"/>
      <c r="EN122" s="89"/>
      <c r="EO122" s="89"/>
      <c r="EP122" s="89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89"/>
      <c r="FD122" s="89"/>
      <c r="FE122" s="89"/>
      <c r="FF122" s="89"/>
      <c r="FG122" s="89"/>
      <c r="FH122" s="89"/>
    </row>
    <row r="123" spans="12:164" ht="12.75">
      <c r="L123" s="88"/>
      <c r="M123" s="155"/>
      <c r="N123" s="88"/>
      <c r="O123" s="155"/>
      <c r="P123" s="88"/>
      <c r="Q123" s="155"/>
      <c r="R123" s="88"/>
      <c r="S123" s="155"/>
      <c r="T123" s="205"/>
      <c r="U123" s="188"/>
      <c r="V123" s="88"/>
      <c r="W123" s="155"/>
      <c r="X123" s="155"/>
      <c r="Y123" s="88"/>
      <c r="Z123" s="155"/>
      <c r="AA123" s="155"/>
      <c r="AB123" s="88"/>
      <c r="AC123" s="155"/>
      <c r="AD123" s="155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</row>
    <row r="124" spans="1:164" s="174" customFormat="1" ht="12.75">
      <c r="A124" s="4"/>
      <c r="B124" s="4"/>
      <c r="C124" s="4"/>
      <c r="D124" s="5"/>
      <c r="E124" s="4"/>
      <c r="F124" s="105"/>
      <c r="G124" s="4"/>
      <c r="H124" s="4"/>
      <c r="I124" s="4"/>
      <c r="J124" s="4"/>
      <c r="K124" s="4"/>
      <c r="L124" s="88"/>
      <c r="M124" s="155"/>
      <c r="N124" s="88"/>
      <c r="O124" s="155"/>
      <c r="P124" s="88"/>
      <c r="Q124" s="155"/>
      <c r="R124" s="88"/>
      <c r="S124" s="155"/>
      <c r="T124" s="205"/>
      <c r="U124" s="188"/>
      <c r="V124" s="88"/>
      <c r="W124" s="155"/>
      <c r="X124" s="155"/>
      <c r="Y124" s="88"/>
      <c r="Z124" s="155"/>
      <c r="AA124" s="155"/>
      <c r="AB124" s="88"/>
      <c r="AC124" s="155"/>
      <c r="AD124" s="155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</row>
    <row r="125" spans="12:164" ht="12.75">
      <c r="L125" s="88"/>
      <c r="M125" s="155"/>
      <c r="N125" s="88"/>
      <c r="O125" s="155"/>
      <c r="P125" s="88"/>
      <c r="Q125" s="155"/>
      <c r="R125" s="88"/>
      <c r="S125" s="155"/>
      <c r="T125" s="205"/>
      <c r="U125" s="188"/>
      <c r="V125" s="88"/>
      <c r="W125" s="155"/>
      <c r="X125" s="155"/>
      <c r="Y125" s="88"/>
      <c r="Z125" s="155"/>
      <c r="AA125" s="155"/>
      <c r="AB125" s="88"/>
      <c r="AC125" s="155"/>
      <c r="AD125" s="155"/>
      <c r="AE125" s="155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</row>
    <row r="126" spans="12:164" ht="12.75">
      <c r="L126" s="88"/>
      <c r="M126" s="155"/>
      <c r="N126" s="88"/>
      <c r="O126" s="155"/>
      <c r="P126" s="88"/>
      <c r="Q126" s="155"/>
      <c r="R126" s="88"/>
      <c r="S126" s="155"/>
      <c r="T126" s="205"/>
      <c r="U126" s="188"/>
      <c r="V126" s="88"/>
      <c r="W126" s="155"/>
      <c r="X126" s="155"/>
      <c r="Y126" s="88"/>
      <c r="Z126" s="155"/>
      <c r="AA126" s="155"/>
      <c r="AB126" s="88"/>
      <c r="AC126" s="155"/>
      <c r="AD126" s="155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</row>
    <row r="127" spans="12:164" ht="12.75">
      <c r="L127" s="88"/>
      <c r="M127" s="155"/>
      <c r="N127" s="88"/>
      <c r="O127" s="155"/>
      <c r="P127" s="88"/>
      <c r="Q127" s="155"/>
      <c r="R127" s="88"/>
      <c r="S127" s="155"/>
      <c r="T127" s="205"/>
      <c r="U127" s="188"/>
      <c r="V127" s="88"/>
      <c r="W127" s="155"/>
      <c r="X127" s="155"/>
      <c r="Y127" s="88"/>
      <c r="Z127" s="155"/>
      <c r="AA127" s="155"/>
      <c r="AB127" s="88"/>
      <c r="AC127" s="155"/>
      <c r="AD127" s="155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</row>
    <row r="128" spans="12:164" ht="12.75">
      <c r="L128" s="88"/>
      <c r="M128" s="155"/>
      <c r="N128" s="88"/>
      <c r="O128" s="155"/>
      <c r="P128" s="88"/>
      <c r="Q128" s="155"/>
      <c r="R128" s="88"/>
      <c r="S128" s="155"/>
      <c r="T128" s="205"/>
      <c r="U128" s="188"/>
      <c r="V128" s="88"/>
      <c r="W128" s="155"/>
      <c r="X128" s="155"/>
      <c r="Y128" s="88"/>
      <c r="Z128" s="155"/>
      <c r="AA128" s="155"/>
      <c r="AB128" s="88"/>
      <c r="AC128" s="155"/>
      <c r="AD128" s="155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</row>
    <row r="129" spans="12:164" ht="12.75">
      <c r="L129" s="88"/>
      <c r="M129" s="155"/>
      <c r="N129" s="88"/>
      <c r="O129" s="155"/>
      <c r="P129" s="88"/>
      <c r="Q129" s="155"/>
      <c r="R129" s="88"/>
      <c r="S129" s="155"/>
      <c r="T129" s="205"/>
      <c r="U129" s="188"/>
      <c r="V129" s="88"/>
      <c r="W129" s="155"/>
      <c r="X129" s="155"/>
      <c r="Y129" s="88"/>
      <c r="Z129" s="155"/>
      <c r="AA129" s="155"/>
      <c r="AB129" s="88"/>
      <c r="AC129" s="155"/>
      <c r="AD129" s="155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</row>
    <row r="130" spans="12:164" ht="12.75">
      <c r="L130" s="88"/>
      <c r="M130" s="155"/>
      <c r="N130" s="88"/>
      <c r="O130" s="155"/>
      <c r="P130" s="88"/>
      <c r="Q130" s="155"/>
      <c r="R130" s="88"/>
      <c r="S130" s="155"/>
      <c r="T130" s="205"/>
      <c r="U130" s="188"/>
      <c r="V130" s="88"/>
      <c r="W130" s="155"/>
      <c r="X130" s="155"/>
      <c r="Y130" s="88"/>
      <c r="Z130" s="155"/>
      <c r="AA130" s="155"/>
      <c r="AB130" s="88"/>
      <c r="AC130" s="155"/>
      <c r="AD130" s="155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</row>
    <row r="131" spans="12:164" ht="12.75">
      <c r="L131" s="88"/>
      <c r="M131" s="155"/>
      <c r="N131" s="88"/>
      <c r="O131" s="155"/>
      <c r="P131" s="88"/>
      <c r="Q131" s="155"/>
      <c r="R131" s="88"/>
      <c r="S131" s="155"/>
      <c r="T131" s="205"/>
      <c r="U131" s="188"/>
      <c r="V131" s="88"/>
      <c r="W131" s="155"/>
      <c r="X131" s="155"/>
      <c r="Y131" s="88"/>
      <c r="Z131" s="155"/>
      <c r="AA131" s="155"/>
      <c r="AB131" s="88"/>
      <c r="AC131" s="155"/>
      <c r="AD131" s="155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</row>
    <row r="132" spans="12:164" ht="12.75">
      <c r="L132" s="89"/>
      <c r="M132" s="89"/>
      <c r="N132" s="89"/>
      <c r="O132" s="89"/>
      <c r="P132" s="89"/>
      <c r="Q132" s="89"/>
      <c r="R132" s="89"/>
      <c r="S132" s="89"/>
      <c r="T132" s="189"/>
      <c r="U132" s="1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  <c r="EG132" s="89"/>
      <c r="EH132" s="89"/>
      <c r="EI132" s="89"/>
      <c r="EJ132" s="89"/>
      <c r="EK132" s="89"/>
      <c r="EL132" s="89"/>
      <c r="EM132" s="89"/>
      <c r="EN132" s="89"/>
      <c r="EO132" s="89"/>
      <c r="EP132" s="89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89"/>
      <c r="FD132" s="89"/>
      <c r="FE132" s="89"/>
      <c r="FF132" s="89"/>
      <c r="FG132" s="89"/>
      <c r="FH132" s="89"/>
    </row>
    <row r="133" spans="12:164" ht="12.75">
      <c r="L133" s="89"/>
      <c r="M133" s="89"/>
      <c r="N133" s="89"/>
      <c r="O133" s="89"/>
      <c r="P133" s="89"/>
      <c r="Q133" s="89"/>
      <c r="R133" s="89"/>
      <c r="S133" s="89"/>
      <c r="T133" s="189"/>
      <c r="U133" s="1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</row>
    <row r="134" spans="12:164" ht="12.75">
      <c r="L134" s="89"/>
      <c r="M134" s="89"/>
      <c r="N134" s="89"/>
      <c r="O134" s="89"/>
      <c r="P134" s="89"/>
      <c r="Q134" s="89"/>
      <c r="R134" s="89"/>
      <c r="S134" s="89"/>
      <c r="T134" s="189"/>
      <c r="U134" s="1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</row>
    <row r="135" spans="12:164" ht="12.75">
      <c r="L135" s="89"/>
      <c r="M135" s="89"/>
      <c r="N135" s="89"/>
      <c r="O135" s="89"/>
      <c r="P135" s="89"/>
      <c r="Q135" s="89"/>
      <c r="R135" s="89"/>
      <c r="S135" s="89"/>
      <c r="T135" s="189"/>
      <c r="U135" s="1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</row>
    <row r="136" spans="12:164" ht="12.75">
      <c r="L136" s="89"/>
      <c r="M136" s="89"/>
      <c r="N136" s="89"/>
      <c r="O136" s="89"/>
      <c r="P136" s="89"/>
      <c r="Q136" s="89"/>
      <c r="R136" s="89"/>
      <c r="S136" s="89"/>
      <c r="T136" s="189"/>
      <c r="U136" s="1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</row>
    <row r="137" spans="12:164" ht="12.75">
      <c r="L137" s="89"/>
      <c r="M137" s="89"/>
      <c r="N137" s="89"/>
      <c r="O137" s="89"/>
      <c r="P137" s="89"/>
      <c r="Q137" s="89"/>
      <c r="R137" s="89"/>
      <c r="S137" s="89"/>
      <c r="T137" s="189"/>
      <c r="U137" s="1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  <c r="EL137" s="89"/>
      <c r="EM137" s="89"/>
      <c r="EN137" s="89"/>
      <c r="EO137" s="89"/>
      <c r="EP137" s="89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89"/>
      <c r="FD137" s="89"/>
      <c r="FE137" s="89"/>
      <c r="FF137" s="89"/>
      <c r="FG137" s="89"/>
      <c r="FH137" s="89"/>
    </row>
    <row r="138" spans="12:164" ht="12.75">
      <c r="L138" s="89"/>
      <c r="M138" s="89"/>
      <c r="N138" s="89"/>
      <c r="O138" s="89"/>
      <c r="P138" s="89"/>
      <c r="Q138" s="89"/>
      <c r="R138" s="89"/>
      <c r="S138" s="89"/>
      <c r="T138" s="189"/>
      <c r="U138" s="1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</row>
    <row r="139" spans="12:164" ht="12.75">
      <c r="L139" s="89"/>
      <c r="M139" s="89"/>
      <c r="N139" s="89"/>
      <c r="O139" s="89"/>
      <c r="P139" s="89"/>
      <c r="Q139" s="89"/>
      <c r="R139" s="89"/>
      <c r="S139" s="89"/>
      <c r="T139" s="189"/>
      <c r="U139" s="1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  <c r="EL139" s="89"/>
      <c r="EM139" s="89"/>
      <c r="EN139" s="89"/>
      <c r="EO139" s="89"/>
      <c r="EP139" s="89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89"/>
      <c r="FG139" s="89"/>
      <c r="FH139" s="89"/>
    </row>
    <row r="140" spans="12:164" ht="12.75">
      <c r="L140" s="89"/>
      <c r="M140" s="89"/>
      <c r="N140" s="89"/>
      <c r="O140" s="89"/>
      <c r="P140" s="89"/>
      <c r="Q140" s="89"/>
      <c r="R140" s="89"/>
      <c r="S140" s="89"/>
      <c r="T140" s="189"/>
      <c r="U140" s="1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</row>
    <row r="141" spans="12:164" ht="12.75">
      <c r="L141" s="89"/>
      <c r="M141" s="89"/>
      <c r="N141" s="89"/>
      <c r="O141" s="89"/>
      <c r="P141" s="89"/>
      <c r="Q141" s="89"/>
      <c r="R141" s="89"/>
      <c r="S141" s="89"/>
      <c r="T141" s="189"/>
      <c r="U141" s="1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</row>
    <row r="142" spans="12:164" ht="12.75">
      <c r="L142" s="89"/>
      <c r="M142" s="89"/>
      <c r="N142" s="89"/>
      <c r="O142" s="89"/>
      <c r="P142" s="89"/>
      <c r="Q142" s="89"/>
      <c r="R142" s="89"/>
      <c r="S142" s="89"/>
      <c r="T142" s="189"/>
      <c r="U142" s="1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</row>
    <row r="143" spans="12:164" ht="12.75">
      <c r="L143" s="89"/>
      <c r="M143" s="89"/>
      <c r="N143" s="89"/>
      <c r="O143" s="89"/>
      <c r="P143" s="89"/>
      <c r="Q143" s="89"/>
      <c r="R143" s="89"/>
      <c r="S143" s="89"/>
      <c r="T143" s="189"/>
      <c r="U143" s="1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</row>
    <row r="144" spans="12:164" ht="12.75">
      <c r="L144" s="89"/>
      <c r="M144" s="89"/>
      <c r="N144" s="89"/>
      <c r="O144" s="89"/>
      <c r="P144" s="89"/>
      <c r="Q144" s="89"/>
      <c r="R144" s="89"/>
      <c r="S144" s="89"/>
      <c r="T144" s="189"/>
      <c r="U144" s="1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  <c r="EG144" s="89"/>
      <c r="EH144" s="89"/>
      <c r="EI144" s="89"/>
      <c r="EJ144" s="89"/>
      <c r="EK144" s="89"/>
      <c r="EL144" s="89"/>
      <c r="EM144" s="89"/>
      <c r="EN144" s="89"/>
      <c r="EO144" s="89"/>
      <c r="EP144" s="89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89"/>
      <c r="FD144" s="89"/>
      <c r="FE144" s="89"/>
      <c r="FF144" s="89"/>
      <c r="FG144" s="89"/>
      <c r="FH144" s="89"/>
    </row>
    <row r="145" spans="12:164" ht="12.75">
      <c r="L145" s="89"/>
      <c r="M145" s="89"/>
      <c r="N145" s="89"/>
      <c r="O145" s="89"/>
      <c r="P145" s="89"/>
      <c r="Q145" s="89"/>
      <c r="R145" s="89"/>
      <c r="S145" s="89"/>
      <c r="T145" s="189"/>
      <c r="U145" s="1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</row>
    <row r="146" spans="12:164" ht="12.75">
      <c r="L146" s="89"/>
      <c r="M146" s="89"/>
      <c r="N146" s="89"/>
      <c r="O146" s="89"/>
      <c r="P146" s="89"/>
      <c r="Q146" s="89"/>
      <c r="R146" s="89"/>
      <c r="S146" s="89"/>
      <c r="T146" s="189"/>
      <c r="U146" s="1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  <c r="EG146" s="89"/>
      <c r="EH146" s="89"/>
      <c r="EI146" s="89"/>
      <c r="EJ146" s="89"/>
      <c r="EK146" s="89"/>
      <c r="EL146" s="89"/>
      <c r="EM146" s="89"/>
      <c r="EN146" s="89"/>
      <c r="EO146" s="89"/>
      <c r="EP146" s="89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89"/>
      <c r="FD146" s="89"/>
      <c r="FE146" s="89"/>
      <c r="FF146" s="89"/>
      <c r="FG146" s="89"/>
      <c r="FH146" s="89"/>
    </row>
    <row r="147" spans="12:164" ht="12.75">
      <c r="L147" s="89"/>
      <c r="M147" s="89"/>
      <c r="N147" s="89"/>
      <c r="O147" s="89"/>
      <c r="P147" s="89"/>
      <c r="Q147" s="89"/>
      <c r="R147" s="89"/>
      <c r="S147" s="89"/>
      <c r="T147" s="189"/>
      <c r="U147" s="1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</row>
    <row r="148" spans="12:164" ht="12.75">
      <c r="L148" s="89"/>
      <c r="M148" s="89"/>
      <c r="N148" s="89"/>
      <c r="O148" s="89"/>
      <c r="P148" s="89"/>
      <c r="Q148" s="89"/>
      <c r="R148" s="89"/>
      <c r="S148" s="89"/>
      <c r="T148" s="189"/>
      <c r="U148" s="1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  <c r="EG148" s="89"/>
      <c r="EH148" s="89"/>
      <c r="EI148" s="89"/>
      <c r="EJ148" s="89"/>
      <c r="EK148" s="89"/>
      <c r="EL148" s="89"/>
      <c r="EM148" s="89"/>
      <c r="EN148" s="89"/>
      <c r="EO148" s="89"/>
      <c r="EP148" s="89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89"/>
      <c r="FD148" s="89"/>
      <c r="FE148" s="89"/>
      <c r="FF148" s="89"/>
      <c r="FG148" s="89"/>
      <c r="FH148" s="89"/>
    </row>
    <row r="149" spans="12:164" ht="12.75">
      <c r="L149" s="89"/>
      <c r="M149" s="89"/>
      <c r="N149" s="89"/>
      <c r="O149" s="89"/>
      <c r="P149" s="89"/>
      <c r="Q149" s="89"/>
      <c r="R149" s="89"/>
      <c r="S149" s="89"/>
      <c r="T149" s="189"/>
      <c r="U149" s="1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  <c r="EG149" s="89"/>
      <c r="EH149" s="89"/>
      <c r="EI149" s="89"/>
      <c r="EJ149" s="89"/>
      <c r="EK149" s="89"/>
      <c r="EL149" s="89"/>
      <c r="EM149" s="89"/>
      <c r="EN149" s="89"/>
      <c r="EO149" s="89"/>
      <c r="EP149" s="89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89"/>
      <c r="FD149" s="89"/>
      <c r="FE149" s="89"/>
      <c r="FF149" s="89"/>
      <c r="FG149" s="89"/>
      <c r="FH149" s="89"/>
    </row>
  </sheetData>
  <sheetProtection/>
  <printOptions horizontalCentered="1"/>
  <pageMargins left="0.7874015748031497" right="0.7874015748031497" top="0.7874015748031497" bottom="0.5905511811023623" header="0" footer="0.1968503937007874"/>
  <pageSetup fitToHeight="3" fitToWidth="1" horizontalDpi="600" verticalDpi="600" orientation="landscape" paperSize="8" scale="79" r:id="rId1"/>
  <headerFooter alignWithMargins="0">
    <oddFooter>&amp;CSide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6">
      <selection activeCell="I35" sqref="I35"/>
    </sheetView>
  </sheetViews>
  <sheetFormatPr defaultColWidth="9.140625" defaultRowHeight="12.75"/>
  <cols>
    <col min="1" max="1" width="59.57421875" style="287" bestFit="1" customWidth="1"/>
    <col min="2" max="2" width="9.28125" style="280" bestFit="1" customWidth="1"/>
    <col min="3" max="3" width="7.28125" style="285" customWidth="1"/>
    <col min="4" max="4" width="10.140625" style="286" bestFit="1" customWidth="1"/>
    <col min="5" max="5" width="30.8515625" style="280" customWidth="1"/>
    <col min="6" max="6" width="7.140625" style="280" bestFit="1" customWidth="1"/>
    <col min="7" max="7" width="10.8515625" style="286" customWidth="1"/>
    <col min="8" max="8" width="7.00390625" style="287" customWidth="1"/>
    <col min="9" max="9" width="11.8515625" style="287" customWidth="1"/>
    <col min="10" max="10" width="4.00390625" style="287" customWidth="1"/>
    <col min="11" max="11" width="12.7109375" style="287" bestFit="1" customWidth="1"/>
    <col min="12" max="12" width="9.140625" style="287" customWidth="1"/>
    <col min="13" max="13" width="12.00390625" style="287" customWidth="1"/>
    <col min="14" max="14" width="11.28125" style="287" bestFit="1" customWidth="1"/>
    <col min="15" max="15" width="14.00390625" style="303" bestFit="1" customWidth="1"/>
    <col min="16" max="16" width="12.8515625" style="287" bestFit="1" customWidth="1"/>
    <col min="17" max="17" width="11.28125" style="287" bestFit="1" customWidth="1"/>
    <col min="18" max="18" width="4.28125" style="287" customWidth="1"/>
    <col min="19" max="19" width="12.140625" style="287" bestFit="1" customWidth="1"/>
    <col min="20" max="20" width="14.00390625" style="287" bestFit="1" customWidth="1"/>
    <col min="21" max="21" width="12.140625" style="287" bestFit="1" customWidth="1"/>
    <col min="22" max="24" width="12.8515625" style="287" bestFit="1" customWidth="1"/>
    <col min="25" max="16384" width="9.140625" style="287" customWidth="1"/>
  </cols>
  <sheetData>
    <row r="1" spans="1:16" ht="12">
      <c r="A1" s="284" t="s">
        <v>124</v>
      </c>
      <c r="E1" s="286" t="s">
        <v>71</v>
      </c>
      <c r="N1" s="287" t="s">
        <v>126</v>
      </c>
      <c r="O1" s="288" t="s">
        <v>127</v>
      </c>
      <c r="P1" s="289"/>
    </row>
    <row r="2" spans="1:23" ht="12">
      <c r="A2" s="290" t="s">
        <v>72</v>
      </c>
      <c r="B2" s="291"/>
      <c r="C2" s="292"/>
      <c r="D2" s="293" t="s">
        <v>73</v>
      </c>
      <c r="E2" s="290" t="s">
        <v>72</v>
      </c>
      <c r="F2" s="294"/>
      <c r="G2" s="295" t="s">
        <v>74</v>
      </c>
      <c r="H2" s="291"/>
      <c r="I2" s="287" t="s">
        <v>75</v>
      </c>
      <c r="O2" s="288"/>
      <c r="P2" s="289"/>
      <c r="Q2" s="287" t="s">
        <v>128</v>
      </c>
      <c r="V2" s="296" t="s">
        <v>129</v>
      </c>
      <c r="W2" s="287" t="s">
        <v>130</v>
      </c>
    </row>
    <row r="3" spans="1:22" ht="12">
      <c r="A3" s="297" t="s">
        <v>76</v>
      </c>
      <c r="B3" s="291"/>
      <c r="C3" s="292">
        <f>D3*100/D35</f>
        <v>80.32626993939529</v>
      </c>
      <c r="D3" s="298">
        <v>3738699</v>
      </c>
      <c r="E3" s="297" t="s">
        <v>76</v>
      </c>
      <c r="F3" s="299"/>
      <c r="G3" s="300">
        <f>2093977+1078716</f>
        <v>3172693</v>
      </c>
      <c r="H3" s="291"/>
      <c r="I3" s="301">
        <f>1644722-1078716</f>
        <v>566006</v>
      </c>
      <c r="K3" s="291">
        <f aca="true" t="shared" si="0" ref="K3:K10">SUM(G3,I3)</f>
        <v>3738699</v>
      </c>
      <c r="M3" s="302" t="s">
        <v>165</v>
      </c>
      <c r="N3" s="303">
        <f>25000+3600</f>
        <v>28600</v>
      </c>
      <c r="O3" s="288">
        <f>167134.14+280446.83+378212.7+155945.64+152437.5+272825+312500+85000+32875+71250+200000+158750+53375+21603.75+5312.5+7500+20607.66+229237.5+126618.75+57000+6033.75+190820-3948.75+676450.69+74456.25</f>
        <v>3732443.91</v>
      </c>
      <c r="P3" s="304">
        <f>O3+O4</f>
        <v>3738693.91</v>
      </c>
      <c r="Q3" s="303"/>
      <c r="T3" s="287" t="s">
        <v>148</v>
      </c>
      <c r="V3" s="305">
        <f>O3+O4</f>
        <v>3738693.91</v>
      </c>
    </row>
    <row r="4" spans="1:22" ht="12">
      <c r="A4" s="306"/>
      <c r="B4" s="291"/>
      <c r="C4" s="292"/>
      <c r="D4" s="298"/>
      <c r="E4" s="280" t="s">
        <v>179</v>
      </c>
      <c r="G4" s="280">
        <v>-30043.5</v>
      </c>
      <c r="H4" s="291"/>
      <c r="I4" s="291"/>
      <c r="K4" s="291">
        <f t="shared" si="0"/>
        <v>-30043.5</v>
      </c>
      <c r="M4" s="307"/>
      <c r="N4" s="303">
        <v>6250</v>
      </c>
      <c r="O4" s="288">
        <v>6250</v>
      </c>
      <c r="P4" s="289" t="s">
        <v>166</v>
      </c>
      <c r="Q4" s="303"/>
      <c r="R4" s="287" t="s">
        <v>135</v>
      </c>
      <c r="T4" s="287" t="s">
        <v>131</v>
      </c>
      <c r="V4" s="308">
        <f>O6</f>
        <v>0</v>
      </c>
    </row>
    <row r="5" spans="1:20" ht="12">
      <c r="A5" s="297" t="s">
        <v>77</v>
      </c>
      <c r="B5" s="309"/>
      <c r="C5" s="299"/>
      <c r="D5" s="295"/>
      <c r="E5" s="297" t="s">
        <v>78</v>
      </c>
      <c r="F5" s="292"/>
      <c r="G5" s="295">
        <v>0</v>
      </c>
      <c r="H5" s="291"/>
      <c r="I5" s="291">
        <v>0</v>
      </c>
      <c r="K5" s="291">
        <f t="shared" si="0"/>
        <v>0</v>
      </c>
      <c r="M5" s="307"/>
      <c r="N5" s="303"/>
      <c r="O5" s="288">
        <v>-30044</v>
      </c>
      <c r="P5" s="289" t="s">
        <v>182</v>
      </c>
      <c r="Q5" s="303"/>
      <c r="R5" s="287" t="s">
        <v>135</v>
      </c>
      <c r="T5" s="287" t="s">
        <v>147</v>
      </c>
    </row>
    <row r="6" spans="1:20" ht="12">
      <c r="A6" s="297"/>
      <c r="B6" s="309"/>
      <c r="C6" s="299"/>
      <c r="D6" s="295"/>
      <c r="F6" s="291"/>
      <c r="G6" s="295"/>
      <c r="H6" s="291"/>
      <c r="I6" s="291"/>
      <c r="K6" s="291">
        <f t="shared" si="0"/>
        <v>0</v>
      </c>
      <c r="M6" s="307"/>
      <c r="N6" s="303"/>
      <c r="O6" s="288">
        <v>0</v>
      </c>
      <c r="P6" s="289" t="s">
        <v>133</v>
      </c>
      <c r="Q6" s="303"/>
      <c r="R6" s="287" t="s">
        <v>136</v>
      </c>
      <c r="T6" s="287" t="s">
        <v>147</v>
      </c>
    </row>
    <row r="7" spans="1:22" ht="12">
      <c r="A7" s="297" t="s">
        <v>167</v>
      </c>
      <c r="B7" s="310">
        <v>2920</v>
      </c>
      <c r="C7" s="311">
        <f>B7*100/$D$13</f>
        <v>-12.643976790508358</v>
      </c>
      <c r="D7" s="295"/>
      <c r="E7" s="297" t="str">
        <f>A7</f>
        <v>Udgifter til byggeplads -</v>
      </c>
      <c r="F7" s="291"/>
      <c r="G7" s="286">
        <f>1635+842</f>
        <v>2477</v>
      </c>
      <c r="H7" s="280"/>
      <c r="I7" s="280">
        <f>1285-842</f>
        <v>443</v>
      </c>
      <c r="K7" s="280">
        <f t="shared" si="0"/>
        <v>2920</v>
      </c>
      <c r="O7" s="289">
        <v>3948.75</v>
      </c>
      <c r="P7" s="289" t="s">
        <v>134</v>
      </c>
      <c r="Q7" s="288"/>
      <c r="R7" s="287" t="s">
        <v>137</v>
      </c>
      <c r="T7" s="287" t="s">
        <v>131</v>
      </c>
      <c r="V7" s="308">
        <f>O7</f>
        <v>3948.75</v>
      </c>
    </row>
    <row r="8" spans="1:22" ht="12">
      <c r="A8" s="297" t="s">
        <v>79</v>
      </c>
      <c r="C8" s="311">
        <f>B8*100/$D$13</f>
        <v>0</v>
      </c>
      <c r="D8" s="295"/>
      <c r="E8" s="297" t="str">
        <f>A8</f>
        <v>Bygherreleverancer</v>
      </c>
      <c r="F8" s="291"/>
      <c r="G8" s="286">
        <f>$G$5*C9/100</f>
        <v>0</v>
      </c>
      <c r="H8" s="280"/>
      <c r="I8" s="280">
        <f>$I$5*C9/100</f>
        <v>0</v>
      </c>
      <c r="K8" s="280">
        <f t="shared" si="0"/>
        <v>0</v>
      </c>
      <c r="O8" s="312">
        <f>Q20</f>
        <v>81.25</v>
      </c>
      <c r="P8" s="289" t="str">
        <f>P15</f>
        <v>udtør</v>
      </c>
      <c r="Q8" s="288"/>
      <c r="T8" s="287" t="s">
        <v>131</v>
      </c>
      <c r="V8" s="308">
        <f>O8</f>
        <v>81.25</v>
      </c>
    </row>
    <row r="9" spans="1:20" ht="12.75" thickBot="1">
      <c r="A9" s="297" t="s">
        <v>105</v>
      </c>
      <c r="B9" s="310">
        <f>3948.75+81.25</f>
        <v>4030</v>
      </c>
      <c r="C9" s="311">
        <f>B9*100/$D$13</f>
        <v>-17.45042002251667</v>
      </c>
      <c r="D9" s="295"/>
      <c r="E9" s="297" t="str">
        <f>A9</f>
        <v>Særlige vinterforanstaltninger og udtørring</v>
      </c>
      <c r="F9" s="291"/>
      <c r="G9" s="295">
        <f>2257+1163</f>
        <v>3420</v>
      </c>
      <c r="H9" s="291"/>
      <c r="I9" s="291">
        <f>1773-1163</f>
        <v>610</v>
      </c>
      <c r="K9" s="291">
        <f t="shared" si="0"/>
        <v>4030</v>
      </c>
      <c r="O9" s="288"/>
      <c r="P9" s="289"/>
      <c r="Q9" s="313">
        <f>SUM(Q3:Q8)</f>
        <v>0</v>
      </c>
      <c r="T9" s="287" t="s">
        <v>131</v>
      </c>
    </row>
    <row r="10" spans="1:22" ht="12">
      <c r="A10" s="290" t="s">
        <v>80</v>
      </c>
      <c r="B10" s="291">
        <v>-30044</v>
      </c>
      <c r="C10" s="311">
        <f>B10*100/$D$13</f>
        <v>130.094396813025</v>
      </c>
      <c r="D10" s="295"/>
      <c r="E10" s="290" t="str">
        <f>A10</f>
        <v>Mindre reguleringer </v>
      </c>
      <c r="F10" s="291"/>
      <c r="G10" s="295"/>
      <c r="H10" s="291"/>
      <c r="I10" s="291"/>
      <c r="K10" s="291">
        <f t="shared" si="0"/>
        <v>0</v>
      </c>
      <c r="M10" s="287" t="s">
        <v>158</v>
      </c>
      <c r="O10" s="312">
        <v>2920</v>
      </c>
      <c r="P10" s="289" t="s">
        <v>163</v>
      </c>
      <c r="Q10" s="289"/>
      <c r="T10" s="287" t="s">
        <v>131</v>
      </c>
      <c r="V10" s="305">
        <f>O10</f>
        <v>2920</v>
      </c>
    </row>
    <row r="11" spans="1:20" ht="12">
      <c r="A11" s="290"/>
      <c r="B11" s="314"/>
      <c r="C11" s="315"/>
      <c r="D11" s="295"/>
      <c r="O11" s="288"/>
      <c r="P11" s="289"/>
      <c r="Q11" s="289"/>
      <c r="T11" s="287" t="s">
        <v>131</v>
      </c>
    </row>
    <row r="12" spans="1:20" ht="12">
      <c r="A12" s="290"/>
      <c r="B12" s="291"/>
      <c r="C12" s="292"/>
      <c r="D12" s="295"/>
      <c r="E12" s="290" t="s">
        <v>81</v>
      </c>
      <c r="F12" s="310"/>
      <c r="G12" s="316">
        <f>SUM(G7:G11)</f>
        <v>5897</v>
      </c>
      <c r="H12" s="310"/>
      <c r="I12" s="310">
        <f>SUM(I7:I11)</f>
        <v>1053</v>
      </c>
      <c r="K12" s="310">
        <f>SUM(G12,I12)</f>
        <v>6950</v>
      </c>
      <c r="O12" s="317">
        <f>SUM(O3:O11)</f>
        <v>3715599.91</v>
      </c>
      <c r="P12" s="289"/>
      <c r="Q12" s="289"/>
      <c r="T12" s="287" t="s">
        <v>131</v>
      </c>
    </row>
    <row r="13" spans="1:17" ht="12">
      <c r="A13" s="290" t="s">
        <v>81</v>
      </c>
      <c r="B13" s="291"/>
      <c r="C13" s="292">
        <f>D13*100/D35</f>
        <v>-0.4961765785318355</v>
      </c>
      <c r="D13" s="316">
        <f>SUM(B7:B11)</f>
        <v>-23094</v>
      </c>
      <c r="E13" s="290"/>
      <c r="F13" s="291"/>
      <c r="G13" s="318"/>
      <c r="H13" s="291"/>
      <c r="I13" s="291"/>
      <c r="K13" s="291">
        <f>SUM(G13,I13)</f>
        <v>0</v>
      </c>
      <c r="O13" s="288"/>
      <c r="P13" s="289"/>
      <c r="Q13" s="289"/>
    </row>
    <row r="14" spans="1:17" ht="12.75" thickBot="1">
      <c r="A14" s="290"/>
      <c r="B14" s="291"/>
      <c r="C14" s="292"/>
      <c r="D14" s="319">
        <f>SUM(D3:D13)</f>
        <v>3715605</v>
      </c>
      <c r="E14" s="287"/>
      <c r="F14" s="291">
        <f>G14/(K14)*100</f>
        <v>84.7384497627641</v>
      </c>
      <c r="G14" s="320">
        <f>G3+G12+G13+G4</f>
        <v>3148546.5</v>
      </c>
      <c r="H14" s="291">
        <f>I14/(K14)*100</f>
        <v>15.261550237235896</v>
      </c>
      <c r="I14" s="320">
        <f>I3+I12+I13+I4</f>
        <v>567059</v>
      </c>
      <c r="J14" s="320"/>
      <c r="K14" s="320">
        <f>SUM(G14,I14)</f>
        <v>3715605.5</v>
      </c>
      <c r="O14" s="288"/>
      <c r="P14" s="289"/>
      <c r="Q14" s="289"/>
    </row>
    <row r="15" spans="1:17" ht="12">
      <c r="A15" s="306"/>
      <c r="B15" s="291"/>
      <c r="C15" s="292"/>
      <c r="D15" s="295"/>
      <c r="E15" s="290"/>
      <c r="F15" s="291"/>
      <c r="G15" s="295"/>
      <c r="H15" s="291"/>
      <c r="I15" s="291"/>
      <c r="K15" s="291"/>
      <c r="O15" s="288"/>
      <c r="P15" s="321" t="s">
        <v>138</v>
      </c>
      <c r="Q15" s="288">
        <v>81.25</v>
      </c>
    </row>
    <row r="16" spans="1:17" ht="12">
      <c r="A16" s="290" t="s">
        <v>82</v>
      </c>
      <c r="B16" s="309"/>
      <c r="C16" s="299"/>
      <c r="D16" s="295"/>
      <c r="E16" s="306"/>
      <c r="F16" s="291"/>
      <c r="G16" s="295"/>
      <c r="H16" s="291"/>
      <c r="I16" s="291"/>
      <c r="K16" s="291">
        <f>SUM(G16:I16)</f>
        <v>0</v>
      </c>
      <c r="O16" s="288"/>
      <c r="P16" s="321" t="s">
        <v>138</v>
      </c>
      <c r="Q16" s="288"/>
    </row>
    <row r="17" spans="1:17" ht="12">
      <c r="A17" s="290" t="s">
        <v>83</v>
      </c>
      <c r="B17" s="309">
        <f>487420.88</f>
        <v>487420.88</v>
      </c>
      <c r="C17" s="299">
        <f aca="true" t="shared" si="1" ref="C17:C25">B17*100/$D$27</f>
        <v>79.53582569940147</v>
      </c>
      <c r="D17" s="295"/>
      <c r="E17" s="290" t="s">
        <v>84</v>
      </c>
      <c r="F17" s="292">
        <f>G17*100/G38</f>
        <v>13.022335558769614</v>
      </c>
      <c r="G17" s="295">
        <f>Helhedsplan!M78+Helhedsplan!U78</f>
        <v>519302.8614524429</v>
      </c>
      <c r="H17" s="291"/>
      <c r="I17" s="291">
        <f>Helhedsplan!Q78-Helhedsplan!U78</f>
        <v>93528.9985475571</v>
      </c>
      <c r="K17" s="291">
        <f aca="true" t="shared" si="2" ref="K17:K30">SUM(G17,I17)</f>
        <v>612831.86</v>
      </c>
      <c r="O17" s="288"/>
      <c r="P17" s="321" t="s">
        <v>138</v>
      </c>
      <c r="Q17" s="288"/>
    </row>
    <row r="18" spans="1:20" ht="12">
      <c r="A18" s="290" t="s">
        <v>85</v>
      </c>
      <c r="B18" s="309">
        <v>66750</v>
      </c>
      <c r="C18" s="299">
        <f t="shared" si="1"/>
        <v>10.892057733421366</v>
      </c>
      <c r="D18" s="295"/>
      <c r="E18" s="290" t="s">
        <v>83</v>
      </c>
      <c r="F18" s="291">
        <f>G18/(K18)*100</f>
        <v>84.73822843551947</v>
      </c>
      <c r="G18" s="286">
        <f aca="true" t="shared" si="3" ref="G18:G26">$G$17*C17/100</f>
        <v>413031.81873681926</v>
      </c>
      <c r="H18" s="291">
        <f>I18/(K18)*100</f>
        <v>15.261771564480526</v>
      </c>
      <c r="I18" s="280">
        <f aca="true" t="shared" si="4" ref="I18:I26">$I$17*C17/100</f>
        <v>74389.06126318075</v>
      </c>
      <c r="K18" s="280">
        <f t="shared" si="2"/>
        <v>487420.88</v>
      </c>
      <c r="M18" s="307" t="s">
        <v>139</v>
      </c>
      <c r="N18" s="303">
        <f>86988.02+31685.52</f>
        <v>118673.54000000001</v>
      </c>
      <c r="O18" s="288">
        <f>43628.75+19717.36+241657.03+47147.55+16596.65+86988.02+31685.52</f>
        <v>487420.88000000006</v>
      </c>
      <c r="P18" s="321" t="s">
        <v>138</v>
      </c>
      <c r="Q18" s="289"/>
      <c r="T18" s="308">
        <f>O18</f>
        <v>487420.88000000006</v>
      </c>
    </row>
    <row r="19" spans="1:20" ht="12">
      <c r="A19" s="290" t="s">
        <v>86</v>
      </c>
      <c r="B19" s="309">
        <v>4410</v>
      </c>
      <c r="C19" s="299">
        <f t="shared" si="1"/>
        <v>0.7196101064327824</v>
      </c>
      <c r="D19" s="295"/>
      <c r="E19" s="290" t="s">
        <v>85</v>
      </c>
      <c r="F19" s="291">
        <f>G19/(K19)*100</f>
        <v>84.73822843551947</v>
      </c>
      <c r="G19" s="286">
        <f t="shared" si="3"/>
        <v>56562.76748070925</v>
      </c>
      <c r="H19" s="291">
        <f>I19/(K19)*100</f>
        <v>15.261771564480526</v>
      </c>
      <c r="I19" s="280">
        <f t="shared" si="4"/>
        <v>10187.23251929075</v>
      </c>
      <c r="K19" s="280">
        <f t="shared" si="2"/>
        <v>66750</v>
      </c>
      <c r="M19" s="307" t="s">
        <v>140</v>
      </c>
      <c r="N19" s="303"/>
      <c r="O19" s="312">
        <v>66750</v>
      </c>
      <c r="P19" s="321" t="s">
        <v>138</v>
      </c>
      <c r="Q19" s="288"/>
      <c r="T19" s="308">
        <f>O19</f>
        <v>66750</v>
      </c>
    </row>
    <row r="20" spans="1:20" ht="12.75" thickBot="1">
      <c r="A20" s="290" t="s">
        <v>87</v>
      </c>
      <c r="B20" s="309"/>
      <c r="C20" s="299">
        <f t="shared" si="1"/>
        <v>0</v>
      </c>
      <c r="D20" s="295"/>
      <c r="E20" s="290" t="s">
        <v>86</v>
      </c>
      <c r="F20" s="291">
        <f>G20/(K20)*100</f>
        <v>84.73822843551947</v>
      </c>
      <c r="G20" s="286">
        <f t="shared" si="3"/>
        <v>3736.955874006409</v>
      </c>
      <c r="H20" s="291">
        <f>I20/(K20)*100</f>
        <v>15.261771564480526</v>
      </c>
      <c r="I20" s="280">
        <f t="shared" si="4"/>
        <v>673.0441259935911</v>
      </c>
      <c r="K20" s="280">
        <f t="shared" si="2"/>
        <v>4410</v>
      </c>
      <c r="M20" s="307" t="s">
        <v>141</v>
      </c>
      <c r="N20" s="303"/>
      <c r="O20" s="312">
        <v>4410</v>
      </c>
      <c r="P20" s="289"/>
      <c r="Q20" s="313">
        <f>SUM(Q15:Q19)</f>
        <v>81.25</v>
      </c>
      <c r="T20" s="308">
        <f>O20</f>
        <v>4410</v>
      </c>
    </row>
    <row r="21" spans="1:20" ht="12">
      <c r="A21" s="290" t="s">
        <v>97</v>
      </c>
      <c r="B21" s="309"/>
      <c r="C21" s="299">
        <f t="shared" si="1"/>
        <v>0</v>
      </c>
      <c r="D21" s="295"/>
      <c r="E21" s="290" t="str">
        <f>A20</f>
        <v>Genhusning</v>
      </c>
      <c r="F21" s="291"/>
      <c r="G21" s="286">
        <f t="shared" si="3"/>
        <v>0</v>
      </c>
      <c r="H21" s="280"/>
      <c r="I21" s="280">
        <f t="shared" si="4"/>
        <v>0</v>
      </c>
      <c r="K21" s="280">
        <f t="shared" si="2"/>
        <v>0</v>
      </c>
      <c r="O21" s="288"/>
      <c r="P21" s="289"/>
      <c r="Q21" s="289"/>
      <c r="T21" s="308"/>
    </row>
    <row r="22" spans="1:20" ht="12">
      <c r="A22" s="290" t="s">
        <v>88</v>
      </c>
      <c r="B22" s="309">
        <v>0</v>
      </c>
      <c r="C22" s="299">
        <f t="shared" si="1"/>
        <v>0</v>
      </c>
      <c r="D22" s="295"/>
      <c r="E22" s="290" t="str">
        <f>A21</f>
        <v>Byggeadministration byggeskadefonden</v>
      </c>
      <c r="F22" s="291"/>
      <c r="G22" s="286">
        <f t="shared" si="3"/>
        <v>0</v>
      </c>
      <c r="H22" s="280"/>
      <c r="I22" s="280">
        <f t="shared" si="4"/>
        <v>0</v>
      </c>
      <c r="K22" s="280">
        <f t="shared" si="2"/>
        <v>0</v>
      </c>
      <c r="M22" s="307" t="s">
        <v>149</v>
      </c>
      <c r="O22" s="312">
        <v>976</v>
      </c>
      <c r="P22" s="289"/>
      <c r="Q22" s="289"/>
      <c r="T22" s="308">
        <f aca="true" t="shared" si="5" ref="T22:T28">O22</f>
        <v>976</v>
      </c>
    </row>
    <row r="23" spans="1:20" ht="12">
      <c r="A23" s="290" t="s">
        <v>89</v>
      </c>
      <c r="B23" s="309">
        <v>13837.77</v>
      </c>
      <c r="C23" s="299">
        <f t="shared" si="1"/>
        <v>2.2580043407012163</v>
      </c>
      <c r="D23" s="295"/>
      <c r="E23" s="290" t="s">
        <v>88</v>
      </c>
      <c r="F23" s="291"/>
      <c r="G23" s="286">
        <f t="shared" si="3"/>
        <v>0</v>
      </c>
      <c r="H23" s="280"/>
      <c r="I23" s="280">
        <f t="shared" si="4"/>
        <v>0</v>
      </c>
      <c r="K23" s="280">
        <f t="shared" si="2"/>
        <v>0</v>
      </c>
      <c r="M23" s="307" t="s">
        <v>132</v>
      </c>
      <c r="O23" s="312">
        <f>6056+1781.21</f>
        <v>7837.21</v>
      </c>
      <c r="P23" s="289"/>
      <c r="Q23" s="289" t="s">
        <v>142</v>
      </c>
      <c r="T23" s="308">
        <f t="shared" si="5"/>
        <v>7837.21</v>
      </c>
    </row>
    <row r="24" spans="1:20" ht="12">
      <c r="A24" s="290" t="s">
        <v>90</v>
      </c>
      <c r="B24" s="309">
        <f>O22+O23+O27+O28</f>
        <v>38813.21</v>
      </c>
      <c r="C24" s="299">
        <f t="shared" si="1"/>
        <v>6.333419088230825</v>
      </c>
      <c r="D24" s="295"/>
      <c r="E24" s="290" t="s">
        <v>89</v>
      </c>
      <c r="F24" s="291">
        <f>G24/(K24)*100</f>
        <v>84.73822843551947</v>
      </c>
      <c r="G24" s="286">
        <f t="shared" si="3"/>
        <v>11725.881152981783</v>
      </c>
      <c r="H24" s="291">
        <f>I24/(K24)*100</f>
        <v>15.261771564480526</v>
      </c>
      <c r="I24" s="280">
        <f t="shared" si="4"/>
        <v>2111.888847018217</v>
      </c>
      <c r="K24" s="280">
        <f t="shared" si="2"/>
        <v>13837.77</v>
      </c>
      <c r="M24" s="307" t="s">
        <v>143</v>
      </c>
      <c r="N24" s="308">
        <f>Q29</f>
        <v>0</v>
      </c>
      <c r="O24" s="312">
        <f>Q30</f>
        <v>13837.77</v>
      </c>
      <c r="P24" s="289"/>
      <c r="Q24" s="312">
        <v>5575.92</v>
      </c>
      <c r="T24" s="308">
        <f t="shared" si="5"/>
        <v>13837.77</v>
      </c>
    </row>
    <row r="25" spans="1:20" ht="12">
      <c r="A25" s="280" t="s">
        <v>144</v>
      </c>
      <c r="B25" s="322">
        <f>O33</f>
        <v>1600</v>
      </c>
      <c r="C25" s="299">
        <f t="shared" si="1"/>
        <v>0.2610830318123474</v>
      </c>
      <c r="D25" s="295"/>
      <c r="E25" s="290" t="str">
        <f>A24</f>
        <v>Øvrige finansielle omkostninger</v>
      </c>
      <c r="F25" s="291">
        <f>G25/(K25)*100</f>
        <v>84.73822843551947</v>
      </c>
      <c r="G25" s="286">
        <f t="shared" si="3"/>
        <v>32889.626552957896</v>
      </c>
      <c r="H25" s="291">
        <f>I25/(K25)*100</f>
        <v>15.261771564480526</v>
      </c>
      <c r="I25" s="280">
        <f t="shared" si="4"/>
        <v>5923.583447042112</v>
      </c>
      <c r="K25" s="280">
        <f t="shared" si="2"/>
        <v>38813.21000000001</v>
      </c>
      <c r="M25" s="307" t="s">
        <v>153</v>
      </c>
      <c r="N25" s="303">
        <v>5760</v>
      </c>
      <c r="O25" s="312">
        <v>5760</v>
      </c>
      <c r="P25" s="289"/>
      <c r="Q25" s="312">
        <v>152.19</v>
      </c>
      <c r="T25" s="308">
        <f t="shared" si="5"/>
        <v>5760</v>
      </c>
    </row>
    <row r="26" spans="5:20" ht="12">
      <c r="E26" s="323" t="s">
        <v>144</v>
      </c>
      <c r="F26" s="291">
        <f>G26/(K26)*100</f>
        <v>84.73822843551947</v>
      </c>
      <c r="G26" s="286">
        <f t="shared" si="3"/>
        <v>1355.8116549683118</v>
      </c>
      <c r="H26" s="291">
        <f>I26/(K26)*100</f>
        <v>15.261771564480522</v>
      </c>
      <c r="I26" s="280">
        <f t="shared" si="4"/>
        <v>244.1883450316884</v>
      </c>
      <c r="K26" s="280">
        <f t="shared" si="2"/>
        <v>1600.0000000000002</v>
      </c>
      <c r="M26" s="307" t="s">
        <v>154</v>
      </c>
      <c r="N26" s="303">
        <v>58060</v>
      </c>
      <c r="O26" s="312">
        <v>58060</v>
      </c>
      <c r="P26" s="289"/>
      <c r="Q26" s="312">
        <v>35.22</v>
      </c>
      <c r="T26" s="308">
        <f t="shared" si="5"/>
        <v>58060</v>
      </c>
    </row>
    <row r="27" spans="1:20" ht="12">
      <c r="A27" s="290" t="s">
        <v>91</v>
      </c>
      <c r="B27" s="309"/>
      <c r="C27" s="299">
        <f>D27*100/D35</f>
        <v>13.166745280596727</v>
      </c>
      <c r="D27" s="298">
        <f>SUM(B16:B25)</f>
        <v>612831.86</v>
      </c>
      <c r="E27" s="287"/>
      <c r="G27" s="324"/>
      <c r="H27" s="280"/>
      <c r="I27" s="325"/>
      <c r="K27" s="325">
        <f t="shared" si="2"/>
        <v>0</v>
      </c>
      <c r="M27" s="307" t="s">
        <v>145</v>
      </c>
      <c r="N27" s="308">
        <v>20000</v>
      </c>
      <c r="O27" s="288">
        <v>20000</v>
      </c>
      <c r="P27" s="289"/>
      <c r="Q27" s="312">
        <v>8074.44</v>
      </c>
      <c r="T27" s="308">
        <f t="shared" si="5"/>
        <v>20000</v>
      </c>
    </row>
    <row r="28" spans="1:20" ht="12">
      <c r="A28" s="290" t="str">
        <f>A43</f>
        <v>Genhusning, information m.v. (skal detaljeres inden skema A)</v>
      </c>
      <c r="C28" s="299"/>
      <c r="D28" s="309">
        <f>Helhedsplan!G82</f>
        <v>222012.53999999998</v>
      </c>
      <c r="E28" s="290" t="s">
        <v>91</v>
      </c>
      <c r="F28" s="291">
        <f>G28/(K28)*100</f>
        <v>84.73822843551947</v>
      </c>
      <c r="G28" s="295">
        <f>SUM(G18:G27)</f>
        <v>519302.8614524428</v>
      </c>
      <c r="H28" s="291">
        <f>I28/(K28)*100</f>
        <v>15.261771564480526</v>
      </c>
      <c r="I28" s="291">
        <f>SUM(I18:I27)</f>
        <v>93528.99854755709</v>
      </c>
      <c r="K28" s="291">
        <f t="shared" si="2"/>
        <v>612831.8599999999</v>
      </c>
      <c r="N28" s="308">
        <v>10000</v>
      </c>
      <c r="O28" s="288">
        <v>10000</v>
      </c>
      <c r="P28" s="289"/>
      <c r="Q28" s="288"/>
      <c r="T28" s="308">
        <f t="shared" si="5"/>
        <v>10000</v>
      </c>
    </row>
    <row r="29" spans="5:19" ht="12">
      <c r="E29" s="290" t="s">
        <v>92</v>
      </c>
      <c r="F29" s="291"/>
      <c r="G29" s="324">
        <f>D28</f>
        <v>222012.53999999998</v>
      </c>
      <c r="H29" s="280"/>
      <c r="I29" s="325">
        <v>0</v>
      </c>
      <c r="K29" s="325">
        <f t="shared" si="2"/>
        <v>222012.53999999998</v>
      </c>
      <c r="O29" s="288">
        <f>19928.46+37238+5511+5061+5061+5061+5061+5061+5061+43875.08+12910+85833-33992.75</f>
        <v>201668.78999999998</v>
      </c>
      <c r="P29" s="289" t="s">
        <v>151</v>
      </c>
      <c r="Q29" s="288"/>
      <c r="R29" s="287" t="s">
        <v>150</v>
      </c>
      <c r="S29" s="305">
        <f>O29+O30</f>
        <v>222012.53999999998</v>
      </c>
    </row>
    <row r="30" spans="3:17" ht="12.75" thickBot="1">
      <c r="C30" s="285">
        <f>D30*100/D35</f>
        <v>97.76679717997074</v>
      </c>
      <c r="D30" s="286">
        <f>SUM(D14:D28)</f>
        <v>4550449.4</v>
      </c>
      <c r="E30" s="290"/>
      <c r="F30" s="291"/>
      <c r="G30" s="324">
        <f>SUM(G28:G29)</f>
        <v>741315.4014524429</v>
      </c>
      <c r="H30" s="280"/>
      <c r="I30" s="324">
        <f>SUM(I28:I29)</f>
        <v>93528.99854755709</v>
      </c>
      <c r="K30" s="324">
        <f t="shared" si="2"/>
        <v>834844.3999999999</v>
      </c>
      <c r="O30" s="288">
        <f>5812.5+2906.25+6781.25+4843.75</f>
        <v>20343.75</v>
      </c>
      <c r="P30" s="289" t="s">
        <v>152</v>
      </c>
      <c r="Q30" s="326">
        <f>SUM(Q24:Q29)</f>
        <v>13837.77</v>
      </c>
    </row>
    <row r="31" spans="5:17" ht="12">
      <c r="E31" s="290"/>
      <c r="F31" s="291"/>
      <c r="H31" s="280"/>
      <c r="I31" s="280"/>
      <c r="K31" s="280"/>
      <c r="O31" s="288"/>
      <c r="P31" s="327" t="s">
        <v>164</v>
      </c>
      <c r="Q31" s="289"/>
    </row>
    <row r="32" spans="1:17" ht="12">
      <c r="A32" s="287" t="s">
        <v>93</v>
      </c>
      <c r="C32" s="328">
        <f>D32*100/D35</f>
        <v>0.8620246247447088</v>
      </c>
      <c r="D32" s="286">
        <f>O36</f>
        <v>40122</v>
      </c>
      <c r="E32" s="287"/>
      <c r="F32" s="285"/>
      <c r="H32" s="280"/>
      <c r="I32" s="280"/>
      <c r="K32" s="280">
        <f>SUM(G32:I32)</f>
        <v>0</v>
      </c>
      <c r="O32" s="288"/>
      <c r="P32" s="289"/>
      <c r="Q32" s="289"/>
    </row>
    <row r="33" spans="1:17" ht="12">
      <c r="A33" s="287" t="s">
        <v>154</v>
      </c>
      <c r="D33" s="286">
        <f>N26</f>
        <v>58060</v>
      </c>
      <c r="E33" s="287"/>
      <c r="F33" s="291">
        <f>G33/(K33)*100</f>
        <v>85.48301787593448</v>
      </c>
      <c r="G33" s="286">
        <f>G14+G30</f>
        <v>3889861.9014524426</v>
      </c>
      <c r="H33" s="291">
        <f>I33/(K33)*100</f>
        <v>14.516982124065517</v>
      </c>
      <c r="I33" s="286">
        <f>I14+I30</f>
        <v>660587.998547557</v>
      </c>
      <c r="K33" s="286">
        <f>SUM(G33,I33)</f>
        <v>4550449.899999999</v>
      </c>
      <c r="N33" s="303">
        <v>1600</v>
      </c>
      <c r="O33" s="288">
        <v>1600</v>
      </c>
      <c r="P33" s="289" t="s">
        <v>144</v>
      </c>
      <c r="Q33" s="289"/>
    </row>
    <row r="34" spans="1:16" ht="12">
      <c r="A34" s="287" t="s">
        <v>156</v>
      </c>
      <c r="D34" s="286">
        <f>N25</f>
        <v>5760</v>
      </c>
      <c r="E34" s="287"/>
      <c r="F34" s="285"/>
      <c r="H34" s="280"/>
      <c r="I34" s="280"/>
      <c r="K34" s="280">
        <f>SUM(G34:I34)</f>
        <v>0</v>
      </c>
      <c r="O34" s="288"/>
      <c r="P34" s="289"/>
    </row>
    <row r="35" spans="1:20" ht="12">
      <c r="A35" s="297" t="s">
        <v>104</v>
      </c>
      <c r="B35" s="291"/>
      <c r="C35" s="292">
        <f>SUM(C30:C32)</f>
        <v>98.62882180471544</v>
      </c>
      <c r="D35" s="316">
        <f>SUM(D30:D34)</f>
        <v>4654391.4</v>
      </c>
      <c r="E35" s="287" t="s">
        <v>93</v>
      </c>
      <c r="F35" s="299">
        <f>G35*100/$G$38</f>
        <v>0.9996524634253966</v>
      </c>
      <c r="G35" s="286">
        <v>39864</v>
      </c>
      <c r="H35" s="280"/>
      <c r="I35" s="286">
        <v>6728</v>
      </c>
      <c r="K35" s="286">
        <f>SUM(G35,I35)</f>
        <v>46592</v>
      </c>
      <c r="L35" s="287" t="s">
        <v>176</v>
      </c>
      <c r="O35" s="288"/>
      <c r="P35" s="289"/>
      <c r="T35" s="308">
        <f>O36</f>
        <v>40122</v>
      </c>
    </row>
    <row r="36" spans="5:16" ht="12">
      <c r="E36" s="287"/>
      <c r="G36" s="286">
        <f>D33</f>
        <v>58060</v>
      </c>
      <c r="H36" s="280"/>
      <c r="I36" s="280">
        <f>D34</f>
        <v>5760</v>
      </c>
      <c r="K36" s="280">
        <f>SUM(G36,I36)</f>
        <v>63820</v>
      </c>
      <c r="O36" s="288">
        <v>40122</v>
      </c>
      <c r="P36" s="289"/>
    </row>
    <row r="37" spans="5:15" ht="12">
      <c r="E37" s="287"/>
      <c r="H37" s="280"/>
      <c r="I37" s="280"/>
      <c r="K37" s="280">
        <f>SUM(G37:I37)</f>
        <v>0</v>
      </c>
      <c r="O37" s="288"/>
    </row>
    <row r="38" spans="5:15" ht="12.75" thickBot="1">
      <c r="E38" s="297" t="s">
        <v>5</v>
      </c>
      <c r="F38" s="310"/>
      <c r="G38" s="329">
        <f>SUM(G33:G36)</f>
        <v>3987785.9014524426</v>
      </c>
      <c r="H38" s="316"/>
      <c r="I38" s="329">
        <f>SUM(I33:I36)</f>
        <v>673075.998547557</v>
      </c>
      <c r="J38" s="316">
        <f>SUM(J33:J36)</f>
        <v>0</v>
      </c>
      <c r="K38" s="329">
        <f>SUM(G38,I38)</f>
        <v>4660861.899999999</v>
      </c>
      <c r="O38" s="288"/>
    </row>
    <row r="39" spans="5:15" ht="12.75" thickBot="1">
      <c r="E39" s="287"/>
      <c r="H39" s="280"/>
      <c r="K39" s="280">
        <f>SUM(G39:I39)</f>
        <v>0</v>
      </c>
      <c r="N39" s="330">
        <f>SUM(N3:N38)</f>
        <v>248943.54</v>
      </c>
      <c r="O39" s="326">
        <f>SUM(O12:O38)</f>
        <v>4654386.31</v>
      </c>
    </row>
    <row r="40" spans="5:21" ht="12">
      <c r="E40" s="287"/>
      <c r="H40" s="280"/>
      <c r="K40" s="280">
        <f>SUM(G40:I40)</f>
        <v>0</v>
      </c>
      <c r="O40" s="288"/>
      <c r="S40" s="305">
        <f>SUM(V3:V39)</f>
        <v>3745643.91</v>
      </c>
      <c r="T40" s="305">
        <f>SUM(W3:W39)</f>
        <v>0</v>
      </c>
      <c r="U40" s="305">
        <f>SUM(S40:T40)</f>
        <v>3745643.91</v>
      </c>
    </row>
    <row r="41" spans="3:16" ht="12">
      <c r="C41" s="299"/>
      <c r="D41" s="295"/>
      <c r="E41" s="331"/>
      <c r="F41" s="285"/>
      <c r="G41" s="332"/>
      <c r="H41" s="285"/>
      <c r="I41" s="280"/>
      <c r="K41" s="280"/>
      <c r="M41" s="333"/>
      <c r="P41" s="334">
        <f>O3+O4</f>
        <v>3738693.91</v>
      </c>
    </row>
    <row r="42" spans="3:15" ht="12">
      <c r="C42" s="311"/>
      <c r="D42" s="295"/>
      <c r="E42" s="280" t="s">
        <v>183</v>
      </c>
      <c r="G42" s="335">
        <f>G38-G26</f>
        <v>3986430.0897974744</v>
      </c>
      <c r="H42" s="333"/>
      <c r="I42" s="335">
        <f>I38-I21</f>
        <v>673075.998547557</v>
      </c>
      <c r="M42" s="333"/>
      <c r="N42" s="307" t="s">
        <v>146</v>
      </c>
      <c r="O42" s="336">
        <v>4705853.07</v>
      </c>
    </row>
    <row r="43" spans="1:13" ht="12.75" thickBot="1">
      <c r="A43" s="290" t="s">
        <v>94</v>
      </c>
      <c r="B43" s="309"/>
      <c r="C43" s="337"/>
      <c r="D43" s="295"/>
      <c r="G43" s="329">
        <f>G42*0.01</f>
        <v>39864.30089797475</v>
      </c>
      <c r="H43" s="333"/>
      <c r="I43" s="329">
        <f>I42*0.01</f>
        <v>6730.759985475571</v>
      </c>
      <c r="K43" s="280">
        <f>SUM(G43:I43)</f>
        <v>46595.060883450315</v>
      </c>
      <c r="M43" s="333"/>
    </row>
    <row r="44" spans="1:15" ht="12">
      <c r="A44" s="297" t="s">
        <v>96</v>
      </c>
      <c r="B44" s="310">
        <f>O30</f>
        <v>20343.75</v>
      </c>
      <c r="E44" s="291" t="s">
        <v>185</v>
      </c>
      <c r="F44" s="291"/>
      <c r="G44" s="295">
        <v>37552</v>
      </c>
      <c r="M44" s="333"/>
      <c r="O44" s="303">
        <f>O39-O42</f>
        <v>-51466.76000000071</v>
      </c>
    </row>
    <row r="45" spans="1:13" ht="12">
      <c r="A45" s="297" t="s">
        <v>87</v>
      </c>
      <c r="B45" s="338">
        <f>O29</f>
        <v>201668.78999999998</v>
      </c>
      <c r="C45" s="311"/>
      <c r="E45" s="291" t="s">
        <v>186</v>
      </c>
      <c r="F45" s="285"/>
      <c r="G45" s="339">
        <f>G43-G44</f>
        <v>2312.3008979747465</v>
      </c>
      <c r="H45" s="340"/>
      <c r="I45" s="339" t="s">
        <v>184</v>
      </c>
      <c r="M45" s="333"/>
    </row>
    <row r="46" spans="5:15" ht="12">
      <c r="E46" s="291"/>
      <c r="G46" s="341"/>
      <c r="H46" s="340"/>
      <c r="I46" s="341"/>
      <c r="M46" s="333"/>
      <c r="O46" s="303">
        <f>K38-O39</f>
        <v>6475.589999999851</v>
      </c>
    </row>
    <row r="47" spans="1:15" ht="12">
      <c r="A47" s="297" t="s">
        <v>95</v>
      </c>
      <c r="B47" s="310">
        <f>SUM(B44:B45)</f>
        <v>222012.53999999998</v>
      </c>
      <c r="O47" s="287"/>
    </row>
    <row r="48" spans="9:10" ht="12">
      <c r="I48" s="342" t="s">
        <v>169</v>
      </c>
      <c r="J48" s="296"/>
    </row>
    <row r="49" spans="9:10" ht="12">
      <c r="I49" s="343">
        <v>3880651.75</v>
      </c>
      <c r="J49" s="287" t="s">
        <v>170</v>
      </c>
    </row>
    <row r="50" spans="9:10" ht="12">
      <c r="I50" s="285">
        <f>269000+3755000</f>
        <v>4024000</v>
      </c>
      <c r="J50" s="287" t="s">
        <v>161</v>
      </c>
    </row>
    <row r="51" spans="9:10" ht="12">
      <c r="I51" s="285">
        <v>-3367672.22</v>
      </c>
      <c r="J51" s="287" t="s">
        <v>177</v>
      </c>
    </row>
    <row r="52" spans="9:10" ht="12">
      <c r="I52" s="343">
        <f>SUM(I49:I51)</f>
        <v>4536979.529999999</v>
      </c>
      <c r="J52" s="287" t="s">
        <v>172</v>
      </c>
    </row>
    <row r="53" spans="9:10" ht="12">
      <c r="I53" s="285">
        <f>25000+3600</f>
        <v>28600</v>
      </c>
      <c r="J53" s="287" t="s">
        <v>181</v>
      </c>
    </row>
    <row r="54" spans="9:10" ht="12">
      <c r="I54" s="285">
        <v>86988.02</v>
      </c>
      <c r="J54" s="287" t="s">
        <v>173</v>
      </c>
    </row>
    <row r="55" spans="9:10" ht="12">
      <c r="I55" s="285">
        <v>31685.52</v>
      </c>
      <c r="J55" s="287" t="s">
        <v>180</v>
      </c>
    </row>
    <row r="56" spans="9:10" ht="12">
      <c r="I56" s="285">
        <v>20000</v>
      </c>
      <c r="J56" s="287" t="s">
        <v>174</v>
      </c>
    </row>
    <row r="57" spans="9:10" ht="12">
      <c r="I57" s="285">
        <v>1600</v>
      </c>
      <c r="J57" s="287" t="s">
        <v>178</v>
      </c>
    </row>
    <row r="58" spans="9:10" ht="12">
      <c r="I58" s="343">
        <f>SUM(I52:I57)</f>
        <v>4705853.069999998</v>
      </c>
      <c r="J58" s="287" t="s">
        <v>175</v>
      </c>
    </row>
    <row r="59" spans="9:10" ht="12">
      <c r="I59" s="285">
        <f>K38</f>
        <v>4660861.899999999</v>
      </c>
      <c r="J59" s="287" t="s">
        <v>171</v>
      </c>
    </row>
    <row r="60" ht="12">
      <c r="I60" s="285">
        <f>I58-I59</f>
        <v>44991.169999998994</v>
      </c>
    </row>
    <row r="61" spans="9:10" ht="12">
      <c r="I61" s="285">
        <v>-30043.5</v>
      </c>
      <c r="J61" s="287" t="s">
        <v>187</v>
      </c>
    </row>
    <row r="62" spans="9:10" ht="12">
      <c r="I62" s="285">
        <v>-33992.75</v>
      </c>
      <c r="J62" s="287" t="s">
        <v>189</v>
      </c>
    </row>
    <row r="63" spans="9:10" ht="12">
      <c r="I63" s="285">
        <v>10000</v>
      </c>
      <c r="J63" s="287" t="s">
        <v>190</v>
      </c>
    </row>
    <row r="64" spans="9:10" ht="12">
      <c r="I64" s="285">
        <v>2312</v>
      </c>
      <c r="J64" s="287" t="s">
        <v>188</v>
      </c>
    </row>
    <row r="65" ht="12">
      <c r="I65" s="285">
        <f>SUM(I60:I64)</f>
        <v>-6733.080000001006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Eibye &amp; Holmsgaard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ØKO-29-10-2014 - Bilag 305.04 Skema C, Outrup - 25092014, Budgetark til LBF Møllegården til skema C …</dc:title>
  <dc:subject/>
  <dc:creator>Henrik Holmsgaard</dc:creator>
  <cp:keywords/>
  <dc:description/>
  <cp:lastModifiedBy>Heidi Nielsen</cp:lastModifiedBy>
  <cp:lastPrinted>2014-09-25T07:29:08Z</cp:lastPrinted>
  <dcterms:created xsi:type="dcterms:W3CDTF">2004-05-26T14:33:46Z</dcterms:created>
  <dcterms:modified xsi:type="dcterms:W3CDTF">2014-09-25T08:57:07Z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29-10-2014</vt:lpwstr>
  </property>
  <property fmtid="{D5CDD505-2E9C-101B-9397-08002B2CF9AE}" pid="5" name="MeetingDateAndTi">
    <vt:lpwstr>29-10-2014 fra 13:00 - 15:00</vt:lpwstr>
  </property>
  <property fmtid="{D5CDD505-2E9C-101B-9397-08002B2CF9AE}" pid="6" name="AccessLevelNa">
    <vt:lpwstr>Åben</vt:lpwstr>
  </property>
  <property fmtid="{D5CDD505-2E9C-101B-9397-08002B2CF9AE}" pid="7" name="Fusion">
    <vt:lpwstr>1700385</vt:lpwstr>
  </property>
  <property fmtid="{D5CDD505-2E9C-101B-9397-08002B2CF9AE}" pid="8" name="SortOrd">
    <vt:lpwstr>4</vt:lpwstr>
  </property>
  <property fmtid="{D5CDD505-2E9C-101B-9397-08002B2CF9AE}" pid="9" name="MeetingEndDa">
    <vt:lpwstr>2014-10-29T15:00:00Z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136275/14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2014-10-29T13:00:00Z</vt:lpwstr>
  </property>
  <property fmtid="{D5CDD505-2E9C-101B-9397-08002B2CF9AE}" pid="14" name="PWDescripti">
    <vt:lpwstr/>
  </property>
  <property fmtid="{D5CDD505-2E9C-101B-9397-08002B2CF9AE}" pid="15" name="U">
    <vt:lpwstr>1524783</vt:lpwstr>
  </property>
  <property fmtid="{D5CDD505-2E9C-101B-9397-08002B2CF9AE}" pid="16" name="PWFileTy">
    <vt:lpwstr>.XLS</vt:lpwstr>
  </property>
  <property fmtid="{D5CDD505-2E9C-101B-9397-08002B2CF9AE}" pid="17" name="Agenda">
    <vt:lpwstr>3180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